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HANG\DANG TIN\NAM 2022\VP\"/>
    </mc:Choice>
  </mc:AlternateContent>
  <bookViews>
    <workbookView xWindow="-120" yWindow="-120" windowWidth="20730" windowHeight="11160"/>
  </bookViews>
  <sheets>
    <sheet name="BS03.QIII-2021 " sheetId="1" r:id="rId1"/>
    <sheet name="BS03.QIII-2021_VPS" sheetId="3"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_mtc1">'[1]Sheet1 (4)'!$K$51</definedName>
    <definedName name="____nc1">'[1]Sheet1 (4)'!$J$51</definedName>
    <definedName name="____vl2" localSheetId="0">'[2]Sheet9 (2)'!#REF!</definedName>
    <definedName name="____vl2" localSheetId="1">'[2]Sheet9 (2)'!#REF!</definedName>
    <definedName name="____vl2">'[2]Sheet9 (2)'!#REF!</definedName>
    <definedName name="___mtc1">'[1]Sheet1 (4)'!$K$51</definedName>
    <definedName name="___nc1">'[1]Sheet1 (4)'!$J$51</definedName>
    <definedName name="___vl2" localSheetId="0">'[2]Sheet9 (2)'!#REF!</definedName>
    <definedName name="___vl2" localSheetId="1">'[2]Sheet9 (2)'!#REF!</definedName>
    <definedName name="___vl2">'[2]Sheet9 (2)'!#REF!</definedName>
    <definedName name="__mtc1">'[1]Sheet1 (4)'!$K$51</definedName>
    <definedName name="__nc1">'[1]Sheet1 (4)'!$J$51</definedName>
    <definedName name="__vl2" localSheetId="0">'[2]Sheet9 (2)'!#REF!</definedName>
    <definedName name="__vl2" localSheetId="1">'[2]Sheet9 (2)'!#REF!</definedName>
    <definedName name="__vl2">'[2]Sheet9 (2)'!#REF!</definedName>
    <definedName name="_Fill" localSheetId="0" hidden="1">#REF!</definedName>
    <definedName name="_Fill" localSheetId="1" hidden="1">#REF!</definedName>
    <definedName name="_Fill" hidden="1">#REF!</definedName>
    <definedName name="_mtc1">'[1]Sheet1 (4)'!$K$51</definedName>
    <definedName name="_nc1">'[1]Sheet1 (4)'!$J$51</definedName>
    <definedName name="_vl2" localSheetId="0">'[2]Sheet9 (2)'!#REF!</definedName>
    <definedName name="_vl2" localSheetId="1">'[2]Sheet9 (2)'!#REF!</definedName>
    <definedName name="_vl2">'[2]Sheet9 (2)'!#REF!</definedName>
    <definedName name="A" localSheetId="0">[3]Sheet26!#REF!</definedName>
    <definedName name="A" localSheetId="1">[3]Sheet26!#REF!</definedName>
    <definedName name="A">[3]Sheet26!#REF!</definedName>
    <definedName name="CONG" localSheetId="0">[3]Sheet26!#REF!</definedName>
    <definedName name="CONG" localSheetId="1">[3]Sheet26!#REF!</definedName>
    <definedName name="CONG">[3]Sheet26!#REF!</definedName>
    <definedName name="d0" localSheetId="0">[4]XDCB!#REF!</definedName>
    <definedName name="d0" localSheetId="1">[4]XDCB!#REF!</definedName>
    <definedName name="d0">[4]XDCB!#REF!</definedName>
    <definedName name="hh">[5]XL4Poppy!$B$1:$B$16</definedName>
    <definedName name="HNM" localSheetId="0">[3]Sheet26!#REF!</definedName>
    <definedName name="HNM" localSheetId="1">[3]Sheet26!#REF!</definedName>
    <definedName name="HNM">[3]Sheet26!#REF!</definedName>
    <definedName name="hung">'[6]Sheet1 (6)'!$I$16</definedName>
    <definedName name="HUYEÄN" localSheetId="0">[3]Sheet26!#REF!</definedName>
    <definedName name="HUYEÄN" localSheetId="1">[3]Sheet26!#REF!</definedName>
    <definedName name="HUYEÄN">[3]Sheet26!#REF!</definedName>
    <definedName name="MTC">'[7]Sheet1 (6)'!$J$16</definedName>
    <definedName name="n" localSheetId="0">#REF!</definedName>
    <definedName name="n" localSheetId="1">#REF!</definedName>
    <definedName name="n">#REF!</definedName>
    <definedName name="NAÊM" localSheetId="0">[3]Sheet26!#REF!</definedName>
    <definedName name="NAÊM" localSheetId="1">[3]Sheet26!#REF!</definedName>
    <definedName name="NAÊM">[3]Sheet26!#REF!</definedName>
    <definedName name="NC">'[7]Sheet1 (6)'!$I$16</definedName>
    <definedName name="NGAØY" localSheetId="0">[3]Sheet26!#REF!</definedName>
    <definedName name="NGAØY" localSheetId="1">[3]Sheet26!#REF!</definedName>
    <definedName name="NGAØY">[3]Sheet26!#REF!</definedName>
    <definedName name="NHUT" localSheetId="0">'[8]BC L-V-Tam'!#REF!</definedName>
    <definedName name="NHUT" localSheetId="1">'[8]BC L-V-Tam'!#REF!</definedName>
    <definedName name="NHUT">'[8]BC L-V-Tam'!#REF!</definedName>
    <definedName name="_xlnm.Print_Titles" localSheetId="0">'BS03.QIII-2021 '!$11:$11</definedName>
    <definedName name="_xlnm.Print_Titles" localSheetId="1">'BS03.QIII-2021_VPS'!$11:$11</definedName>
    <definedName name="PTVT">'[9]Sheet1 (6)'!$I$16</definedName>
    <definedName name="SOÁ_HÑ" localSheetId="0">[3]Sheet26!#REF!</definedName>
    <definedName name="SOÁ_HÑ" localSheetId="1">[3]Sheet26!#REF!</definedName>
    <definedName name="SOÁ_HÑ">[3]Sheet26!#REF!</definedName>
    <definedName name="SÔÛ_GT" localSheetId="0">[3]Sheet26!#REF!</definedName>
    <definedName name="SÔÛ_GT" localSheetId="1">[3]Sheet26!#REF!</definedName>
    <definedName name="SÔÛ_GT">[3]Sheet26!#REF!</definedName>
    <definedName name="TEÂN_COÂNG_TRÌNH" localSheetId="0">[3]Sheet26!#REF!</definedName>
    <definedName name="TEÂN_COÂNG_TRÌNH" localSheetId="1">[3]Sheet26!#REF!</definedName>
    <definedName name="TEÂN_COÂNG_TRÌNH">[3]Sheet26!#REF!</definedName>
    <definedName name="THAÙNG" localSheetId="0">[3]Sheet26!#REF!</definedName>
    <definedName name="THAÙNG" localSheetId="1">[3]Sheet26!#REF!</definedName>
    <definedName name="THAÙNG">[3]Sheet26!#REF!</definedName>
    <definedName name="TKCONG" localSheetId="0">[3]Sheet26!#REF!</definedName>
    <definedName name="TKCONG" localSheetId="1">[3]Sheet26!#REF!</definedName>
    <definedName name="TKCONG">[3]Sheet26!#REF!</definedName>
    <definedName name="TT" localSheetId="0">[3]Sheet26!#REF!</definedName>
    <definedName name="TT" localSheetId="1">[3]Sheet26!#REF!</definedName>
    <definedName name="TT">[3]Sheet26!#REF!</definedName>
    <definedName name="VB" localSheetId="0">[3]Sheet26!#REF!</definedName>
    <definedName name="VB" localSheetId="1">[3]Sheet26!#REF!</definedName>
    <definedName name="VB">[3]Sheet26!#REF!</definedName>
    <definedName name="VL">'[7]Sheet2 (2)'!$F$15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36" i="1" l="1"/>
  <c r="C34" i="1"/>
  <c r="C40" i="1"/>
  <c r="C45" i="1"/>
  <c r="C48" i="3"/>
  <c r="C48" i="1" s="1"/>
  <c r="C45" i="3"/>
  <c r="C40" i="3"/>
  <c r="C44" i="3"/>
  <c r="C44" i="1" s="1"/>
  <c r="C43" i="3"/>
  <c r="C43" i="1" s="1"/>
  <c r="C46" i="3"/>
  <c r="C46" i="1" s="1"/>
  <c r="C39" i="3"/>
  <c r="C39" i="1" s="1"/>
  <c r="C38" i="3"/>
  <c r="C38" i="1" s="1"/>
  <c r="C35" i="3"/>
  <c r="C35" i="1" s="1"/>
  <c r="F36" i="1"/>
  <c r="F35" i="1"/>
  <c r="F34" i="1"/>
  <c r="F33" i="1"/>
  <c r="F59" i="1"/>
  <c r="F39" i="1"/>
  <c r="F40" i="1"/>
  <c r="F41" i="1"/>
  <c r="F42" i="1"/>
  <c r="F43" i="1"/>
  <c r="F44" i="1"/>
  <c r="F45" i="1"/>
  <c r="F46" i="1"/>
  <c r="F47" i="1"/>
  <c r="F48" i="1"/>
  <c r="F49" i="1"/>
  <c r="F52" i="1"/>
  <c r="F38" i="1"/>
  <c r="D33" i="1"/>
  <c r="F50" i="3"/>
  <c r="F50" i="1" s="1"/>
  <c r="F51" i="3"/>
  <c r="F51" i="1" s="1"/>
  <c r="D33" i="3"/>
  <c r="D35" i="3"/>
  <c r="D35" i="1" s="1"/>
  <c r="D36" i="1" l="1"/>
  <c r="D34" i="1"/>
  <c r="D52" i="1"/>
  <c r="E52" i="1" s="1"/>
  <c r="D51" i="1"/>
  <c r="D50" i="1"/>
  <c r="E50" i="1" s="1"/>
  <c r="D39" i="1"/>
  <c r="D40" i="1"/>
  <c r="D41" i="1"/>
  <c r="D42" i="1"/>
  <c r="D43" i="1"/>
  <c r="D44" i="1"/>
  <c r="D45" i="1"/>
  <c r="D46" i="1"/>
  <c r="D47" i="1"/>
  <c r="D48" i="1"/>
  <c r="D49" i="1"/>
  <c r="G49" i="1" s="1"/>
  <c r="D38" i="1"/>
  <c r="E49" i="1"/>
  <c r="E51" i="1"/>
  <c r="G51" i="1"/>
  <c r="D37" i="3"/>
  <c r="E49" i="3"/>
  <c r="G49" i="3"/>
  <c r="E50" i="3"/>
  <c r="G50" i="3"/>
  <c r="E51" i="3"/>
  <c r="G51" i="3"/>
  <c r="E52" i="3"/>
  <c r="G52" i="3"/>
  <c r="G50" i="1" l="1"/>
  <c r="G52" i="1"/>
  <c r="D37" i="1"/>
  <c r="F20" i="3" l="1"/>
  <c r="F20" i="1" s="1"/>
  <c r="F18" i="3"/>
  <c r="F18" i="1" s="1"/>
  <c r="F17" i="3"/>
  <c r="F17" i="1" s="1"/>
  <c r="F16" i="3"/>
  <c r="F16" i="1" s="1"/>
  <c r="F24" i="1" s="1"/>
  <c r="D20" i="3" l="1"/>
  <c r="D20" i="1" s="1"/>
  <c r="D18" i="3"/>
  <c r="D18" i="1" s="1"/>
  <c r="D17" i="3"/>
  <c r="D16" i="3"/>
  <c r="D16" i="1" s="1"/>
  <c r="D17" i="1" l="1"/>
  <c r="G17" i="3"/>
  <c r="G55" i="3"/>
  <c r="C33" i="3" l="1"/>
  <c r="G62" i="3"/>
  <c r="F61" i="3"/>
  <c r="C61" i="3"/>
  <c r="G60" i="3"/>
  <c r="E60" i="3"/>
  <c r="G59" i="3"/>
  <c r="E59" i="3"/>
  <c r="E58" i="3" s="1"/>
  <c r="F58" i="3"/>
  <c r="D58" i="3"/>
  <c r="C58" i="3"/>
  <c r="G57" i="3"/>
  <c r="E57" i="3"/>
  <c r="F56" i="3"/>
  <c r="F56" i="1" s="1"/>
  <c r="D56" i="3"/>
  <c r="C56" i="3"/>
  <c r="E55" i="3"/>
  <c r="F54" i="3"/>
  <c r="D54" i="3"/>
  <c r="D53" i="3" s="1"/>
  <c r="C54" i="3"/>
  <c r="C53" i="3" s="1"/>
  <c r="G48" i="3"/>
  <c r="E48" i="3"/>
  <c r="G47" i="3"/>
  <c r="C47" i="3"/>
  <c r="G44" i="3"/>
  <c r="G45" i="3"/>
  <c r="E45" i="3"/>
  <c r="G43" i="3"/>
  <c r="E43" i="3"/>
  <c r="G42" i="3"/>
  <c r="C42" i="3"/>
  <c r="G41" i="3"/>
  <c r="C41" i="3"/>
  <c r="G40" i="3"/>
  <c r="G39" i="3"/>
  <c r="E39" i="3"/>
  <c r="G38" i="3"/>
  <c r="E38" i="3"/>
  <c r="F37" i="3"/>
  <c r="G35" i="3"/>
  <c r="E35" i="3"/>
  <c r="G33" i="3"/>
  <c r="C28" i="3"/>
  <c r="C27" i="3" s="1"/>
  <c r="C23" i="3"/>
  <c r="G21" i="3"/>
  <c r="F28" i="3"/>
  <c r="F27" i="3" s="1"/>
  <c r="G20" i="3"/>
  <c r="C19" i="3"/>
  <c r="E18" i="3"/>
  <c r="F25" i="3"/>
  <c r="E17" i="3"/>
  <c r="E16" i="3"/>
  <c r="C15" i="3"/>
  <c r="E47" i="3" l="1"/>
  <c r="C47" i="1"/>
  <c r="E42" i="3"/>
  <c r="C42" i="1"/>
  <c r="E41" i="3"/>
  <c r="C41" i="1"/>
  <c r="C37" i="3"/>
  <c r="C32" i="3"/>
  <c r="C31" i="3" s="1"/>
  <c r="C30" i="3" s="1"/>
  <c r="C29" i="3" s="1"/>
  <c r="C33" i="1"/>
  <c r="C32" i="1" s="1"/>
  <c r="F53" i="3"/>
  <c r="F32" i="3"/>
  <c r="F31" i="3" s="1"/>
  <c r="F30" i="3" s="1"/>
  <c r="F29" i="3" s="1"/>
  <c r="C22" i="3"/>
  <c r="G16" i="3"/>
  <c r="G18" i="3"/>
  <c r="D15" i="3"/>
  <c r="E15" i="3" s="1"/>
  <c r="C14" i="3"/>
  <c r="C13" i="3" s="1"/>
  <c r="F15" i="3"/>
  <c r="G34" i="3"/>
  <c r="G36" i="3"/>
  <c r="G58" i="3"/>
  <c r="E56" i="3"/>
  <c r="D19" i="3"/>
  <c r="E20" i="3"/>
  <c r="D32" i="3"/>
  <c r="E40" i="3"/>
  <c r="E46" i="3"/>
  <c r="E53" i="3"/>
  <c r="D61" i="3"/>
  <c r="G61" i="3" s="1"/>
  <c r="G46" i="3"/>
  <c r="G56" i="3"/>
  <c r="D28" i="3"/>
  <c r="G28" i="3" s="1"/>
  <c r="F19" i="3"/>
  <c r="E54" i="3"/>
  <c r="G53" i="3"/>
  <c r="F24" i="3"/>
  <c r="F26" i="3"/>
  <c r="E34" i="3"/>
  <c r="E44" i="3"/>
  <c r="G54" i="3"/>
  <c r="D24" i="3"/>
  <c r="D25" i="3"/>
  <c r="D26" i="3"/>
  <c r="E62" i="3"/>
  <c r="E61" i="3" s="1"/>
  <c r="E33" i="3"/>
  <c r="E36" i="3"/>
  <c r="C37" i="1" l="1"/>
  <c r="G32" i="3"/>
  <c r="G15" i="3"/>
  <c r="G19" i="3"/>
  <c r="F14" i="3"/>
  <c r="F13" i="3" s="1"/>
  <c r="D14" i="3"/>
  <c r="E28" i="3"/>
  <c r="F23" i="3"/>
  <c r="F22" i="3" s="1"/>
  <c r="D27" i="3"/>
  <c r="G27" i="3" s="1"/>
  <c r="E19" i="3"/>
  <c r="E32" i="3"/>
  <c r="G37" i="3"/>
  <c r="E37" i="3"/>
  <c r="D31" i="3"/>
  <c r="G31" i="3" s="1"/>
  <c r="E24" i="3"/>
  <c r="D23" i="3"/>
  <c r="G24" i="3"/>
  <c r="E25" i="3"/>
  <c r="G25" i="3"/>
  <c r="E26" i="3"/>
  <c r="G26" i="3"/>
  <c r="F28" i="1"/>
  <c r="F27" i="1" s="1"/>
  <c r="F26" i="1"/>
  <c r="F25" i="1"/>
  <c r="G14" i="3" l="1"/>
  <c r="E27" i="3"/>
  <c r="F23" i="1"/>
  <c r="F22" i="1" s="1"/>
  <c r="E14" i="3"/>
  <c r="D13" i="3"/>
  <c r="D30" i="3"/>
  <c r="G30" i="3" s="1"/>
  <c r="E31" i="3"/>
  <c r="E23" i="3"/>
  <c r="G23" i="3"/>
  <c r="D22" i="3"/>
  <c r="G22" i="3" s="1"/>
  <c r="D28" i="1"/>
  <c r="D26" i="1"/>
  <c r="D25" i="1"/>
  <c r="D24" i="1"/>
  <c r="D23" i="1" l="1"/>
  <c r="G24" i="1"/>
  <c r="E13" i="3"/>
  <c r="G13" i="3"/>
  <c r="E30" i="3"/>
  <c r="D29" i="3"/>
  <c r="G29" i="3" s="1"/>
  <c r="E22" i="3"/>
  <c r="G39" i="1"/>
  <c r="G40" i="1"/>
  <c r="G41" i="1"/>
  <c r="G42" i="1"/>
  <c r="G43" i="1"/>
  <c r="G45" i="1"/>
  <c r="G46" i="1"/>
  <c r="G47" i="1"/>
  <c r="G48" i="1"/>
  <c r="G53" i="1"/>
  <c r="G54" i="1"/>
  <c r="G55" i="1"/>
  <c r="G56" i="1"/>
  <c r="G38" i="1"/>
  <c r="G33" i="1"/>
  <c r="G44" i="1"/>
  <c r="G23" i="1" l="1"/>
  <c r="E29" i="3"/>
  <c r="E56" i="1"/>
  <c r="E55" i="1"/>
  <c r="E54" i="1"/>
  <c r="E53" i="1"/>
  <c r="E48" i="1"/>
  <c r="E47" i="1"/>
  <c r="E46" i="1"/>
  <c r="E45" i="1"/>
  <c r="E44" i="1"/>
  <c r="E38" i="1"/>
  <c r="G59" i="1"/>
  <c r="G63" i="1"/>
  <c r="D64" i="1"/>
  <c r="G21" i="1"/>
  <c r="G25" i="1"/>
  <c r="E25" i="1"/>
  <c r="D27" i="1"/>
  <c r="G26" i="1"/>
  <c r="E24" i="1"/>
  <c r="C28" i="1"/>
  <c r="C27" i="1" s="1"/>
  <c r="C23" i="1"/>
  <c r="E23" i="1" s="1"/>
  <c r="E27" i="1" l="1"/>
  <c r="D32" i="1"/>
  <c r="C22" i="1"/>
  <c r="E28" i="1"/>
  <c r="G28" i="1"/>
  <c r="G27" i="1"/>
  <c r="E26" i="1"/>
  <c r="D22" i="1" l="1"/>
  <c r="G22" i="1" l="1"/>
  <c r="E22" i="1"/>
  <c r="G18" i="1"/>
  <c r="D15" i="1"/>
  <c r="G65" i="1" l="1"/>
  <c r="E65" i="1"/>
  <c r="E64" i="1" s="1"/>
  <c r="F64" i="1"/>
  <c r="G64" i="1" s="1"/>
  <c r="C64" i="1"/>
  <c r="E63" i="1"/>
  <c r="E62" i="1" s="1"/>
  <c r="F62" i="1"/>
  <c r="D62" i="1"/>
  <c r="C62" i="1"/>
  <c r="G61" i="1"/>
  <c r="E61" i="1"/>
  <c r="F60" i="1"/>
  <c r="D60" i="1"/>
  <c r="C60" i="1"/>
  <c r="E59" i="1"/>
  <c r="F58" i="1"/>
  <c r="D58" i="1"/>
  <c r="D57" i="1" s="1"/>
  <c r="C58" i="1"/>
  <c r="C57" i="1" s="1"/>
  <c r="E43" i="1"/>
  <c r="E42" i="1"/>
  <c r="E41" i="1"/>
  <c r="E40" i="1"/>
  <c r="E39" i="1"/>
  <c r="F37" i="1"/>
  <c r="G36" i="1"/>
  <c r="E36" i="1"/>
  <c r="G35" i="1"/>
  <c r="E35" i="1"/>
  <c r="G34" i="1"/>
  <c r="E34" i="1"/>
  <c r="E33" i="1"/>
  <c r="F32" i="1"/>
  <c r="G32" i="1" s="1"/>
  <c r="G20" i="1"/>
  <c r="E20" i="1"/>
  <c r="F19" i="1"/>
  <c r="D19" i="1"/>
  <c r="C19" i="1"/>
  <c r="E18" i="1"/>
  <c r="G17" i="1"/>
  <c r="E17" i="1"/>
  <c r="G16" i="1"/>
  <c r="E16" i="1"/>
  <c r="F15" i="1"/>
  <c r="F14" i="1" s="1"/>
  <c r="F13" i="1" s="1"/>
  <c r="C15" i="1"/>
  <c r="D31" i="1" l="1"/>
  <c r="D30" i="1" s="1"/>
  <c r="D29" i="1" s="1"/>
  <c r="G37" i="1"/>
  <c r="G62" i="1"/>
  <c r="F57" i="1"/>
  <c r="G57" i="1" s="1"/>
  <c r="G58" i="1"/>
  <c r="G19" i="1"/>
  <c r="G15" i="1"/>
  <c r="E57" i="1"/>
  <c r="E58" i="1"/>
  <c r="G60" i="1"/>
  <c r="F31" i="1"/>
  <c r="E19" i="1"/>
  <c r="C14" i="1"/>
  <c r="C13" i="1" s="1"/>
  <c r="E32" i="1"/>
  <c r="E37" i="1"/>
  <c r="E15" i="1"/>
  <c r="E60" i="1"/>
  <c r="D14" i="1"/>
  <c r="C31" i="1" l="1"/>
  <c r="C30" i="1" s="1"/>
  <c r="G31" i="1"/>
  <c r="F30" i="1"/>
  <c r="F29" i="1" s="1"/>
  <c r="G29" i="1" s="1"/>
  <c r="G14" i="1"/>
  <c r="D13" i="1"/>
  <c r="E14" i="1"/>
  <c r="E31" i="1" l="1"/>
  <c r="C29" i="1"/>
  <c r="E29" i="1" s="1"/>
  <c r="E30" i="1"/>
  <c r="G30" i="1"/>
  <c r="E13" i="1"/>
  <c r="G13" i="1"/>
</calcChain>
</file>

<file path=xl/sharedStrings.xml><?xml version="1.0" encoding="utf-8"?>
<sst xmlns="http://schemas.openxmlformats.org/spreadsheetml/2006/main" count="225" uniqueCount="112">
  <si>
    <t>Biểu số 3 - Ban hành kèm theo Thông tư số 90/2018/TT-BTC ngày 28/9/2018 của Bộ Tài chính</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</si>
  <si>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</si>
  <si>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</si>
  <si>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ĐVT: Triệu đồng</t>
  </si>
  <si>
    <t>STT</t>
  </si>
  <si>
    <t>Nội dung</t>
  </si>
  <si>
    <t>A</t>
  </si>
  <si>
    <t>Tổng số thu, chi, nộp ngân sách PLP</t>
  </si>
  <si>
    <t>I</t>
  </si>
  <si>
    <t>Số thu PLP</t>
  </si>
  <si>
    <t>Lệ phí</t>
  </si>
  <si>
    <t>1.1</t>
  </si>
  <si>
    <t>1.2</t>
  </si>
  <si>
    <t>1.3</t>
  </si>
  <si>
    <t>Phí</t>
  </si>
  <si>
    <t>2.1</t>
  </si>
  <si>
    <t>KP không thực hiện chế độ tự chủ</t>
  </si>
  <si>
    <t>Chi quản lý hành chính</t>
  </si>
  <si>
    <t>B</t>
  </si>
  <si>
    <t>Dự toán chi NSNN</t>
  </si>
  <si>
    <t>Nguồn ngân sách trong nước</t>
  </si>
  <si>
    <t xml:space="preserve">KP thực hiện chế độ tự chủ </t>
  </si>
  <si>
    <t>1.1.1</t>
  </si>
  <si>
    <t xml:space="preserve">Chi thanh toán cá nhân </t>
  </si>
  <si>
    <t>1.1.2</t>
  </si>
  <si>
    <t>1.1.3</t>
  </si>
  <si>
    <t>1.2.1</t>
  </si>
  <si>
    <t>1.2.2</t>
  </si>
  <si>
    <t>1.2.3</t>
  </si>
  <si>
    <t>1.2.4</t>
  </si>
  <si>
    <t>1.2.5</t>
  </si>
  <si>
    <t>1.2.6</t>
  </si>
  <si>
    <t>1.2.7</t>
  </si>
  <si>
    <t>1.2.8</t>
  </si>
  <si>
    <t>1.2.9</t>
  </si>
  <si>
    <t>1.2.10</t>
  </si>
  <si>
    <t>1.2.11</t>
  </si>
  <si>
    <t>Chi sự nghiệp kinh tế</t>
  </si>
  <si>
    <t>2.1.1</t>
  </si>
  <si>
    <t xml:space="preserve">Chi Đảm bảo xã hội </t>
  </si>
  <si>
    <t>3.1</t>
  </si>
  <si>
    <t>Chi sự nghiệp kinh tế_NS Trung ương</t>
  </si>
  <si>
    <t>4.1</t>
  </si>
  <si>
    <t>Chương trình mục tiêu quốc gia XD nông thôn mới 2020</t>
  </si>
  <si>
    <t>Thủ trưởng đơn vị</t>
  </si>
  <si>
    <t>Đơn vị: Sở Xây dựng Tây Ninh</t>
  </si>
  <si>
    <t xml:space="preserve">Lệ phí cấp giấy phép giấy xây dựng </t>
  </si>
  <si>
    <t>Lệ phí thông báo tiếp nhận hồ sơ công bố phối hợp</t>
  </si>
  <si>
    <t>Lệ phí cấp chứng chỉ hành nghề</t>
  </si>
  <si>
    <t xml:space="preserve">Phí thẩm định thiết kế </t>
  </si>
  <si>
    <t>Sự nghiệp đào tạo</t>
  </si>
  <si>
    <t>5.1</t>
  </si>
  <si>
    <t>1.1.4</t>
  </si>
  <si>
    <t>Kinh phí hoạt động tổ chức Đảng</t>
  </si>
  <si>
    <t>Kinh phí văn bản quy phạm pháp luật</t>
  </si>
  <si>
    <t>Chi phí phục vụ công tác thu phí, lệ phí</t>
  </si>
  <si>
    <t>BCĐ cấp nước an toàn, chống thất thu nước sạch</t>
  </si>
  <si>
    <t xml:space="preserve">Kinh phí thực hiện công tác lập quy hoạch </t>
  </si>
  <si>
    <t>Kinh phí hỗ trợ Tết Nguyên Đán 2020</t>
  </si>
  <si>
    <t xml:space="preserve">Kinh phí thu hút nhân tài </t>
  </si>
  <si>
    <t>Chương: 419</t>
  </si>
  <si>
    <t>Dự toán năm 2021</t>
  </si>
  <si>
    <t>II</t>
  </si>
  <si>
    <t>Chi từ nguồn thu phí được để lại</t>
  </si>
  <si>
    <t>III</t>
  </si>
  <si>
    <t>Số PLP nộp NSNN</t>
  </si>
  <si>
    <t>Lệ phí cấp chứng chỉ hành nghề xây dựng và thiết kế CTXD</t>
  </si>
  <si>
    <t>Lệ phí thông báo tiếp nhận hồ sơ công bố hợp quy</t>
  </si>
  <si>
    <t>Phí thẩm định (Dự án đầu tư xây dựng, thiết kế kỹ thuật, dự toán xây dựng,…)</t>
  </si>
  <si>
    <t>Chi tiền công theo HĐ 68</t>
  </si>
  <si>
    <t>Chi nghiệp vụ - chuyên môn</t>
  </si>
  <si>
    <t xml:space="preserve">Kinh phí cải cách tiền lương </t>
  </si>
  <si>
    <t>Kinh phí mua sắm, sửa chữa tài sản</t>
  </si>
  <si>
    <t>Chi khác (Đối nội, đối ngoại)</t>
  </si>
  <si>
    <t>KP cho CBCC làm đầu mối KS thủ tục hành chính.</t>
  </si>
  <si>
    <t>Chi nghiệp vụ chuyên môn (lập chỉ số giá XD công trình)</t>
  </si>
  <si>
    <t>Kinh phí quản lý chất lượng (ISO)</t>
  </si>
  <si>
    <t>KP lập dự án xây dựng, quản lý sử dụng hệ thống thông tin về nhà ở và thị trường bất động sản trên địa bàn tỉnh Tây Ninh</t>
  </si>
  <si>
    <t>KP thực hiện đơn giá xây dựng công trình, đơn giá nhân công xây dựng, Giá ca máy và thiết bị thi công xây dựng trên địa bàn tỉnh Tây Ninh</t>
  </si>
  <si>
    <t xml:space="preserve">Kinh phí chi hoạt động thanh tra (phát hiện, thu hồi): </t>
  </si>
  <si>
    <t>Kinh phí chi hoạt động xử phạt hành chính:</t>
  </si>
  <si>
    <t>Kinh phí trang phục thanh tra</t>
  </si>
  <si>
    <t xml:space="preserve">Kinh phí xử lý khiếu nại tố cáo </t>
  </si>
  <si>
    <t>1.2.12</t>
  </si>
  <si>
    <t>1.2.13</t>
  </si>
  <si>
    <t>1.2.14</t>
  </si>
  <si>
    <t>1.2.15</t>
  </si>
  <si>
    <t>Cùng kỳ quý 2 năm 2020
(đồng)</t>
  </si>
  <si>
    <t>Đơn vị: Văn phòng Sở Xây dựng Tây Ninh</t>
  </si>
  <si>
    <t>Chương trình phát triển đô thị tỉnh Tây Ninh giai đoạn 2021-2025, định hướng đến năm 2030</t>
  </si>
  <si>
    <t>(Kèm theo quyết định số:              /QĐ-SXD ngày           /7/2021 của Sở Xây dựng)</t>
  </si>
  <si>
    <t xml:space="preserve">Kế toán </t>
  </si>
  <si>
    <t xml:space="preserve">Huỳnh Ngọc Xuân </t>
  </si>
  <si>
    <t xml:space="preserve">Trần Tương Quốc </t>
  </si>
  <si>
    <t>CÔNG KHAI THỰC HIỆN DỰ TOÁN THU - CHI NGÂN SÁCH 
QUÝ III NĂM 2021</t>
  </si>
  <si>
    <t xml:space="preserve">      Văn phòng Sở Xây dựng Tây Ninh công khai tình hình thực hiện dự toán thu-chi ngân sách quý III năm 2021 như sau:</t>
  </si>
  <si>
    <t>Thực hiện quý III năm 2021</t>
  </si>
  <si>
    <t>Thực hiện quý III năm 2021/Dự toán năm 2021 (tỷ lệ %)</t>
  </si>
  <si>
    <t>Thực hiện quý III năm 2021 so với cùng kỳ năm 2020 (tỷ lệ %)</t>
  </si>
  <si>
    <t>Xây dựng, quản lý sử dụng hệ thống thông tin về nhà ở và thị trường bất động sản trên địa bàn tỉnh Tây Ninh năm 2020</t>
  </si>
  <si>
    <t>Chương trình phát triển nhà ở tỉnh Tây Ninh giai đoạn 2021-2025 và định hướng đến năm 2030, Kế hoạch phát triển nhà ở tỉnh Tây Ninh giai đoạn 2021-2025</t>
  </si>
  <si>
    <t>Kế hoạch phát triển vật liệu xây dựng tỉnh Tây Ninh giai đoạn 2021-2025, định hướng đến năm 2030</t>
  </si>
  <si>
    <t>Ngày 06 tháng 10 năm 2021</t>
  </si>
  <si>
    <t>(Kèm theo quyết định số:              /QĐ-SXD ngày           /10/2021 của Sở Xây dựng)</t>
  </si>
  <si>
    <t>Cùng kỳ quý 3 năm 2020
(đồng)</t>
  </si>
  <si>
    <t>1.2.16</t>
  </si>
  <si>
    <t>1.2.17</t>
  </si>
  <si>
    <t>1.2.18</t>
  </si>
  <si>
    <t>1.2.19</t>
  </si>
  <si>
    <t>Ngày            tháng 10 năm 2021</t>
  </si>
  <si>
    <t>CÔNG KHAI THỰC HIỆN DỰ TOÁN THU - CHI NGÂN SÁCH 
QUÝ IV NĂM 2021</t>
  </si>
  <si>
    <t xml:space="preserve">      Sở Xây dựng Tây Ninh công khai tình hình thực hiện dự toán thu-chi ngân sách quý IV năm 2021 như sau: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</si>
</sst>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F_B_-;\-* #,##0.00\ _F_B_-;_-* &quot;-&quot;??\ _F_B_-;_-@_-"/>
    <numFmt numFmtId="165" formatCode="#,##0.00_ ;\-#,##0.00\ "/>
    <numFmt numFmtId="166" formatCode="#,##0.000_ ;\-#,##0.000\ "/>
    <numFmt numFmtId="167" formatCode="0.000"/>
    <numFmt numFmtId="168" formatCode="#,##0.000"/>
    <numFmt numFmtId="169" formatCode="#,##0_ ;\-#,##0\ "/>
  </numFmts>
  <fonts count="35">
    <font>
      <sz val="10"/>
      <name val="VNI-Times"/>
    </font>
    <font>
      <sz val="11"/>
      <color theme="1"/>
      <name val="Calibri"/>
      <family val="2"/>
      <charset val="163"/>
      <scheme val="minor"/>
    </font>
    <font>
      <sz val="10"/>
      <name val="VNI-Times"/>
    </font>
    <font>
      <sz val="10"/>
      <name val="Times New Roman"/>
      <family val="1"/>
    </font>
    <font>
      <i/>
      <sz val="11"/>
      <name val="Times New Roman"/>
      <family val="1"/>
    </font>
    <font>
      <i/>
      <sz val="11"/>
      <color rgb="FFFF0000"/>
      <name val="Times New Roman"/>
      <family val="1"/>
    </font>
    <font>
      <sz val="10"/>
      <color rgb="FFFF0000"/>
      <name val="Times New Roman"/>
      <family val="1"/>
    </font>
    <font>
      <b/>
      <sz val="14"/>
      <name val="Times New Roman"/>
      <family val="1"/>
    </font>
    <font>
      <i/>
      <sz val="14"/>
      <name val="Times New Roman"/>
      <family val="1"/>
    </font>
    <font>
      <sz val="12"/>
      <name val="Times New Roman"/>
      <family val="1"/>
    </font>
    <font>
      <sz val="11"/>
      <name val="Times New Roman"/>
      <family val="1"/>
    </font>
    <font>
      <sz val="11"/>
      <color rgb="FFFF0000"/>
      <name val="Times New Roman"/>
      <family val="1"/>
    </font>
    <font>
      <sz val="12"/>
      <name val="Times New Roman"/>
      <family val="1"/>
      <charset val="163"/>
    </font>
    <font>
      <i/>
      <sz val="13"/>
      <color theme="1"/>
      <name val="Calibri Light"/>
      <family val="1"/>
      <charset val="163"/>
      <scheme val="major"/>
    </font>
    <font>
      <i/>
      <sz val="13"/>
      <name val="Calibri Light"/>
      <family val="1"/>
      <charset val="163"/>
      <scheme val="major"/>
    </font>
    <font>
      <b/>
      <sz val="13"/>
      <color theme="1"/>
      <name val="Calibri Light"/>
      <family val="1"/>
      <charset val="163"/>
      <scheme val="major"/>
    </font>
    <font>
      <b/>
      <sz val="13"/>
      <name val="Calibri Light"/>
      <family val="1"/>
      <charset val="163"/>
      <scheme val="major"/>
    </font>
    <font>
      <sz val="8"/>
      <name val="VNI-Times"/>
    </font>
    <font>
      <sz val="10"/>
      <name val="Arial"/>
      <family val="2"/>
    </font>
    <font>
      <sz val="13"/>
      <color rgb="FFFF0000"/>
      <name val="Times New Roman"/>
      <family val="1"/>
    </font>
    <font>
      <i/>
      <sz val="13"/>
      <color theme="1"/>
      <name val="Times New Roman"/>
      <family val="1"/>
    </font>
    <font>
      <b/>
      <sz val="13"/>
      <color theme="1"/>
      <name val="Times New Roman"/>
      <family val="1"/>
    </font>
    <font>
      <sz val="13"/>
      <name val="Times New Roman"/>
      <family val="1"/>
    </font>
    <font>
      <b/>
      <sz val="13"/>
      <name val="Times New Roman"/>
      <family val="1"/>
    </font>
    <font>
      <i/>
      <sz val="12"/>
      <name val="Times New Roman"/>
      <family val="1"/>
    </font>
    <font>
      <sz val="13"/>
      <color rgb="FF000000"/>
      <name val="Times New Roman"/>
      <family val="1"/>
    </font>
    <font>
      <i/>
      <sz val="13"/>
      <name val="Times New Roman"/>
      <family val="1"/>
    </font>
    <font>
      <b/>
      <sz val="12"/>
      <name val="Times New Roman"/>
      <family val="1"/>
    </font>
    <font>
      <b/>
      <sz val="12"/>
      <color theme="1"/>
      <name val="Times New Roman"/>
      <family val="1"/>
    </font>
    <font>
      <b/>
      <sz val="12"/>
      <color theme="4"/>
      <name val="Times New Roman"/>
      <family val="1"/>
    </font>
    <font>
      <b/>
      <u/>
      <sz val="12"/>
      <name val="Times New Roman"/>
      <family val="1"/>
    </font>
    <font>
      <sz val="12"/>
      <color theme="1"/>
      <name val="Times New Roman"/>
      <family val="1"/>
    </font>
    <font>
      <b/>
      <i/>
      <sz val="12"/>
      <name val="Times New Roman"/>
      <family val="1"/>
    </font>
    <font>
      <b/>
      <i/>
      <u/>
      <sz val="12"/>
      <name val="Times New Roman"/>
      <family val="1"/>
    </font>
    <font>
      <b/>
      <u/>
      <sz val="12"/>
      <color theme="1"/>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s>
  <cellStyleXfs count="6">
    <xf numFmtId="0" fontId="0" fillId="0" borderId="0"/>
    <xf numFmtId="164" fontId="2" fillId="0" borderId="0" applyFont="0" applyFill="0" applyBorder="0" applyAlignment="0" applyProtection="0"/>
    <xf numFmtId="9" fontId="2" fillId="0" borderId="0" applyFont="0" applyFill="0" applyBorder="0" applyAlignment="0" applyProtection="0"/>
    <xf numFmtId="0" fontId="12" fillId="0" borderId="0"/>
    <xf numFmtId="0" fontId="1" fillId="0" borderId="0"/>
    <xf numFmtId="0" fontId="18" fillId="0" borderId="0"/>
  </cellStyleXfs>
  <cellXfs count="157">
    <xf numFmtId="0" fontId="0" fillId="0" borderId="0" xfId="0"/>
    <xf numFmtId="0" fontId="3" fillId="0" borderId="0" xfId="0" applyFont="1"/>
    <xf numFmtId="2" fontId="4" fillId="0" borderId="0" xfId="0" applyNumberFormat="1" applyFont="1" applyAlignment="1">
      <alignment horizontal="center"/>
    </xf>
    <xf numFmtId="2" fontId="5" fillId="0" borderId="0" xfId="0" applyNumberFormat="1" applyFont="1" applyAlignment="1">
      <alignment horizontal="center"/>
    </xf>
    <xf numFmtId="2" fontId="3" fillId="0" borderId="0" xfId="0" applyNumberFormat="1" applyFont="1"/>
    <xf numFmtId="2" fontId="6" fillId="0" borderId="0" xfId="0" applyNumberFormat="1" applyFont="1"/>
    <xf numFmtId="0" fontId="3" fillId="0" borderId="0" xfId="0" applyFont="1" applyAlignment="1">
      <alignment vertical="center"/>
    </xf>
    <xf numFmtId="0" fontId="9" fillId="0" borderId="0" xfId="0" applyFont="1" applyAlignment="1">
      <alignment horizontal="center"/>
    </xf>
    <xf numFmtId="0" fontId="10" fillId="0" borderId="0" xfId="0" applyFont="1"/>
    <xf numFmtId="2" fontId="10" fillId="0" borderId="0" xfId="0" applyNumberFormat="1" applyFont="1"/>
    <xf numFmtId="2" fontId="11" fillId="0" borderId="0" xfId="0" applyNumberFormat="1" applyFont="1"/>
    <xf numFmtId="2" fontId="3" fillId="0" borderId="0" xfId="0" applyNumberFormat="1" applyFont="1" applyAlignment="1">
      <alignment vertical="center"/>
    </xf>
    <xf numFmtId="0" fontId="15" fillId="0" borderId="0" xfId="4" applyFont="1" applyAlignment="1">
      <alignment vertical="center"/>
    </xf>
    <xf numFmtId="0" fontId="16" fillId="0" borderId="0" xfId="4" applyFont="1" applyAlignment="1">
      <alignment vertical="center"/>
    </xf>
    <xf numFmtId="0" fontId="4" fillId="0" borderId="0" xfId="0" applyFont="1" applyAlignment="1">
      <alignment horizontal="center"/>
    </xf>
    <xf numFmtId="0" fontId="13" fillId="0" borderId="0" xfId="4" applyFont="1"/>
    <xf numFmtId="0" fontId="14" fillId="0" borderId="0" xfId="4" applyFont="1"/>
    <xf numFmtId="2" fontId="19" fillId="0" borderId="0" xfId="0" applyNumberFormat="1" applyFont="1"/>
    <xf numFmtId="0" fontId="20" fillId="0" borderId="0" xfId="4" applyFont="1" applyAlignment="1">
      <alignment horizontal="center"/>
    </xf>
    <xf numFmtId="2" fontId="19" fillId="0" borderId="0" xfId="0" applyNumberFormat="1" applyFont="1" applyAlignment="1">
      <alignment vertical="center"/>
    </xf>
    <xf numFmtId="0" fontId="21" fillId="0" borderId="0" xfId="4" applyFont="1" applyAlignment="1">
      <alignment horizontal="center" vertical="center"/>
    </xf>
    <xf numFmtId="0" fontId="22" fillId="0" borderId="0" xfId="0" applyFont="1"/>
    <xf numFmtId="0" fontId="4" fillId="0" borderId="0" xfId="0" applyFont="1" applyAlignment="1">
      <alignment horizontal="center"/>
    </xf>
    <xf numFmtId="0" fontId="23" fillId="0" borderId="0" xfId="0" applyFont="1" applyAlignment="1">
      <alignment horizontal="center"/>
    </xf>
    <xf numFmtId="0" fontId="9" fillId="0" borderId="0" xfId="0" applyFont="1"/>
    <xf numFmtId="0" fontId="23" fillId="0" borderId="0" xfId="0" applyFont="1" applyAlignment="1">
      <alignment horizontal="left"/>
    </xf>
    <xf numFmtId="2" fontId="22" fillId="0" borderId="0" xfId="0" applyNumberFormat="1" applyFont="1"/>
    <xf numFmtId="0" fontId="22" fillId="0" borderId="0" xfId="0" applyFont="1" applyAlignment="1">
      <alignment vertical="center"/>
    </xf>
    <xf numFmtId="0" fontId="27" fillId="0" borderId="2" xfId="0" applyFont="1" applyBorder="1" applyAlignment="1">
      <alignment horizontal="center" vertical="center" wrapText="1"/>
    </xf>
    <xf numFmtId="2" fontId="27" fillId="0" borderId="2" xfId="0" applyNumberFormat="1" applyFont="1" applyBorder="1" applyAlignment="1">
      <alignment horizontal="center" vertical="center" wrapText="1"/>
    </xf>
    <xf numFmtId="2" fontId="28" fillId="0" borderId="2" xfId="0" applyNumberFormat="1" applyFont="1" applyBorder="1" applyAlignment="1">
      <alignment horizontal="center" vertical="center" wrapText="1"/>
    </xf>
    <xf numFmtId="1" fontId="27" fillId="0" borderId="2" xfId="0" applyNumberFormat="1" applyFont="1" applyBorder="1" applyAlignment="1">
      <alignment horizontal="center" vertical="center" wrapText="1"/>
    </xf>
    <xf numFmtId="1" fontId="28" fillId="0" borderId="2" xfId="0" applyNumberFormat="1" applyFont="1" applyBorder="1" applyAlignment="1">
      <alignment horizontal="center" vertical="center" wrapText="1"/>
    </xf>
    <xf numFmtId="1" fontId="27" fillId="0" borderId="3" xfId="0" applyNumberFormat="1" applyFont="1" applyBorder="1" applyAlignment="1">
      <alignment horizontal="center" vertical="center" wrapText="1"/>
    </xf>
    <xf numFmtId="1" fontId="29" fillId="0" borderId="2" xfId="0" applyNumberFormat="1" applyFont="1" applyBorder="1" applyAlignment="1">
      <alignment horizontal="center" vertical="center" wrapText="1"/>
    </xf>
    <xf numFmtId="0" fontId="27" fillId="2" borderId="4" xfId="0" applyFont="1" applyFill="1" applyBorder="1" applyAlignment="1">
      <alignment horizontal="center" vertical="center"/>
    </xf>
    <xf numFmtId="0" fontId="30" fillId="2" borderId="4" xfId="0" applyFont="1" applyFill="1" applyBorder="1" applyAlignment="1">
      <alignment horizontal="left" vertical="center"/>
    </xf>
    <xf numFmtId="165" fontId="30" fillId="2" borderId="4" xfId="1" applyNumberFormat="1" applyFont="1" applyFill="1" applyBorder="1" applyAlignment="1">
      <alignment vertical="center" wrapText="1"/>
    </xf>
    <xf numFmtId="166" fontId="30" fillId="2" borderId="4" xfId="1" applyNumberFormat="1" applyFont="1" applyFill="1" applyBorder="1" applyAlignment="1">
      <alignment vertical="center" wrapText="1"/>
    </xf>
    <xf numFmtId="9" fontId="30" fillId="2" borderId="5" xfId="2" applyFont="1" applyFill="1" applyBorder="1"/>
    <xf numFmtId="4" fontId="30" fillId="2" borderId="4" xfId="0" applyNumberFormat="1" applyFont="1" applyFill="1" applyBorder="1" applyAlignment="1">
      <alignment horizontal="right" vertical="center" wrapText="1"/>
    </xf>
    <xf numFmtId="9" fontId="30" fillId="2" borderId="4" xfId="2" applyFont="1" applyFill="1" applyBorder="1" applyAlignment="1">
      <alignment horizontal="right" vertical="center" wrapText="1"/>
    </xf>
    <xf numFmtId="0" fontId="9" fillId="2" borderId="0" xfId="0" applyFont="1" applyFill="1"/>
    <xf numFmtId="0" fontId="28" fillId="0" borderId="6" xfId="0" applyFont="1" applyBorder="1" applyAlignment="1">
      <alignment horizontal="center"/>
    </xf>
    <xf numFmtId="0" fontId="28" fillId="0" borderId="6" xfId="0" applyFont="1" applyBorder="1"/>
    <xf numFmtId="165" fontId="27" fillId="0" borderId="6" xfId="1" applyNumberFormat="1" applyFont="1" applyBorder="1" applyAlignment="1"/>
    <xf numFmtId="166" fontId="27" fillId="0" borderId="6" xfId="1" applyNumberFormat="1" applyFont="1" applyBorder="1" applyAlignment="1"/>
    <xf numFmtId="9" fontId="27" fillId="2" borderId="5" xfId="2" applyFont="1" applyFill="1" applyBorder="1"/>
    <xf numFmtId="4" fontId="27" fillId="0" borderId="6" xfId="0" applyNumberFormat="1" applyFont="1" applyBorder="1"/>
    <xf numFmtId="9" fontId="27" fillId="0" borderId="6" xfId="2" applyFont="1" applyBorder="1"/>
    <xf numFmtId="0" fontId="31" fillId="0" borderId="6" xfId="0" applyFont="1" applyBorder="1" applyAlignment="1">
      <alignment horizontal="center"/>
    </xf>
    <xf numFmtId="3" fontId="9" fillId="0" borderId="5" xfId="3" applyNumberFormat="1" applyFont="1" applyBorder="1" applyAlignment="1">
      <alignment vertical="center"/>
    </xf>
    <xf numFmtId="169" fontId="9" fillId="0" borderId="6" xfId="1" applyNumberFormat="1" applyFont="1" applyBorder="1" applyAlignment="1"/>
    <xf numFmtId="166" fontId="9" fillId="0" borderId="6" xfId="1" applyNumberFormat="1" applyFont="1" applyBorder="1" applyAlignment="1"/>
    <xf numFmtId="9" fontId="9" fillId="2" borderId="5" xfId="2" applyFont="1" applyFill="1" applyBorder="1"/>
    <xf numFmtId="4" fontId="9" fillId="0" borderId="6" xfId="0" applyNumberFormat="1" applyFont="1" applyBorder="1"/>
    <xf numFmtId="9" fontId="9" fillId="0" borderId="6" xfId="2" applyFont="1" applyBorder="1"/>
    <xf numFmtId="3" fontId="9" fillId="0" borderId="6" xfId="3" applyNumberFormat="1" applyFont="1" applyBorder="1" applyAlignment="1">
      <alignment vertical="center"/>
    </xf>
    <xf numFmtId="165" fontId="9" fillId="0" borderId="6" xfId="1" applyNumberFormat="1" applyFont="1" applyBorder="1" applyAlignment="1"/>
    <xf numFmtId="0" fontId="27" fillId="0" borderId="6" xfId="0" applyFont="1" applyBorder="1" applyAlignment="1">
      <alignment horizontal="center"/>
    </xf>
    <xf numFmtId="0" fontId="27" fillId="0" borderId="6" xfId="0" applyFont="1" applyBorder="1"/>
    <xf numFmtId="0" fontId="9" fillId="0" borderId="6" xfId="0" applyFont="1" applyBorder="1" applyAlignment="1">
      <alignment horizontal="center"/>
    </xf>
    <xf numFmtId="3" fontId="9" fillId="0" borderId="6" xfId="3" applyNumberFormat="1" applyFont="1" applyBorder="1" applyAlignment="1">
      <alignment vertical="center" wrapText="1"/>
    </xf>
    <xf numFmtId="9" fontId="9" fillId="0" borderId="6" xfId="2" applyFont="1" applyBorder="1" applyAlignment="1">
      <alignment horizontal="right"/>
    </xf>
    <xf numFmtId="3" fontId="9" fillId="0" borderId="7" xfId="3" applyNumberFormat="1" applyFont="1" applyBorder="1" applyAlignment="1">
      <alignment vertical="center"/>
    </xf>
    <xf numFmtId="0" fontId="30" fillId="2" borderId="6" xfId="0" applyFont="1" applyFill="1" applyBorder="1" applyAlignment="1">
      <alignment horizontal="center"/>
    </xf>
    <xf numFmtId="0" fontId="30" fillId="2" borderId="6" xfId="0" applyFont="1" applyFill="1" applyBorder="1"/>
    <xf numFmtId="4" fontId="30" fillId="2" borderId="6" xfId="1" applyNumberFormat="1" applyFont="1" applyFill="1" applyBorder="1" applyAlignment="1"/>
    <xf numFmtId="9" fontId="27" fillId="2" borderId="6" xfId="2" applyFont="1" applyFill="1" applyBorder="1"/>
    <xf numFmtId="4" fontId="27" fillId="0" borderId="6" xfId="1" applyNumberFormat="1" applyFont="1" applyBorder="1" applyAlignment="1"/>
    <xf numFmtId="0" fontId="32" fillId="0" borderId="6" xfId="0" applyFont="1" applyBorder="1" applyAlignment="1">
      <alignment wrapText="1"/>
    </xf>
    <xf numFmtId="4" fontId="32" fillId="0" borderId="6" xfId="1" applyNumberFormat="1" applyFont="1" applyBorder="1" applyAlignment="1"/>
    <xf numFmtId="4" fontId="9" fillId="0" borderId="6" xfId="1" applyNumberFormat="1" applyFont="1" applyBorder="1" applyAlignment="1"/>
    <xf numFmtId="165" fontId="9" fillId="0" borderId="6" xfId="1" applyNumberFormat="1" applyFont="1" applyFill="1" applyBorder="1" applyAlignment="1"/>
    <xf numFmtId="4" fontId="9" fillId="0" borderId="7" xfId="1" applyNumberFormat="1" applyFont="1" applyBorder="1" applyAlignment="1"/>
    <xf numFmtId="0" fontId="32" fillId="0" borderId="6" xfId="0" applyFont="1" applyBorder="1"/>
    <xf numFmtId="9" fontId="33" fillId="2" borderId="6" xfId="2" applyFont="1" applyFill="1" applyBorder="1"/>
    <xf numFmtId="4" fontId="32" fillId="0" borderId="6" xfId="0" applyNumberFormat="1" applyFont="1" applyBorder="1"/>
    <xf numFmtId="4" fontId="9" fillId="0" borderId="0" xfId="0" applyNumberFormat="1" applyFont="1"/>
    <xf numFmtId="2" fontId="9" fillId="0" borderId="6" xfId="1" applyNumberFormat="1" applyFont="1" applyBorder="1" applyAlignment="1">
      <alignment horizontal="right"/>
    </xf>
    <xf numFmtId="9" fontId="9" fillId="2" borderId="6" xfId="2" applyFont="1" applyFill="1" applyBorder="1"/>
    <xf numFmtId="167" fontId="9" fillId="0" borderId="6" xfId="1" applyNumberFormat="1" applyFont="1" applyBorder="1" applyAlignment="1"/>
    <xf numFmtId="168" fontId="9" fillId="0" borderId="6" xfId="1" applyNumberFormat="1" applyFont="1" applyBorder="1" applyAlignment="1"/>
    <xf numFmtId="2" fontId="9" fillId="0" borderId="6" xfId="1" applyNumberFormat="1" applyFont="1" applyBorder="1" applyAlignment="1"/>
    <xf numFmtId="4" fontId="9" fillId="0" borderId="6" xfId="0" applyNumberFormat="1" applyFont="1" applyBorder="1" applyAlignment="1">
      <alignment horizontal="right"/>
    </xf>
    <xf numFmtId="0" fontId="9" fillId="0" borderId="6" xfId="0" applyFont="1" applyBorder="1" applyAlignment="1">
      <alignment horizontal="center" vertical="center"/>
    </xf>
    <xf numFmtId="3" fontId="9" fillId="0" borderId="7" xfId="3" applyNumberFormat="1" applyFont="1" applyBorder="1" applyAlignment="1">
      <alignment vertical="center" wrapText="1"/>
    </xf>
    <xf numFmtId="4" fontId="9" fillId="0" borderId="6" xfId="1" applyNumberFormat="1" applyFont="1" applyBorder="1" applyAlignment="1">
      <alignment vertical="center"/>
    </xf>
    <xf numFmtId="2" fontId="9" fillId="0" borderId="6" xfId="1" applyNumberFormat="1" applyFont="1" applyBorder="1" applyAlignment="1">
      <alignment vertical="center"/>
    </xf>
    <xf numFmtId="9" fontId="9" fillId="2" borderId="5" xfId="2" applyFont="1" applyFill="1" applyBorder="1" applyAlignment="1">
      <alignment vertical="center"/>
    </xf>
    <xf numFmtId="4" fontId="9" fillId="0" borderId="6" xfId="0" applyNumberFormat="1" applyFont="1" applyBorder="1" applyAlignment="1">
      <alignment vertical="center"/>
    </xf>
    <xf numFmtId="9" fontId="9" fillId="0" borderId="6" xfId="2" applyFont="1" applyBorder="1" applyAlignment="1">
      <alignment horizontal="right" vertical="center"/>
    </xf>
    <xf numFmtId="0" fontId="9" fillId="0" borderId="0" xfId="0" applyFont="1" applyAlignment="1">
      <alignment vertical="center"/>
    </xf>
    <xf numFmtId="9" fontId="27" fillId="2" borderId="5" xfId="2" applyFont="1" applyFill="1" applyBorder="1" applyAlignment="1">
      <alignment vertical="center"/>
    </xf>
    <xf numFmtId="9" fontId="27" fillId="0" borderId="6" xfId="2" applyFont="1" applyBorder="1" applyAlignment="1">
      <alignment horizontal="right" vertical="center"/>
    </xf>
    <xf numFmtId="0" fontId="24" fillId="0" borderId="6" xfId="0" applyFont="1" applyBorder="1" applyAlignment="1">
      <alignment horizontal="center"/>
    </xf>
    <xf numFmtId="0" fontId="9" fillId="0" borderId="7" xfId="0" quotePrefix="1" applyFont="1" applyBorder="1" applyAlignment="1">
      <alignment vertical="top" wrapText="1"/>
    </xf>
    <xf numFmtId="4" fontId="24" fillId="0" borderId="6" xfId="1" applyNumberFormat="1" applyFont="1" applyBorder="1" applyAlignment="1"/>
    <xf numFmtId="4" fontId="24" fillId="0" borderId="6" xfId="0" applyNumberFormat="1" applyFont="1" applyBorder="1"/>
    <xf numFmtId="0" fontId="27" fillId="0" borderId="7" xfId="0" applyFont="1" applyBorder="1" applyAlignment="1">
      <alignment horizontal="center"/>
    </xf>
    <xf numFmtId="0" fontId="27" fillId="0" borderId="6" xfId="0" applyFont="1" applyBorder="1" applyAlignment="1">
      <alignment wrapText="1"/>
    </xf>
    <xf numFmtId="4" fontId="27" fillId="0" borderId="7" xfId="1" applyNumberFormat="1" applyFont="1" applyBorder="1" applyAlignment="1"/>
    <xf numFmtId="0" fontId="9" fillId="0" borderId="7" xfId="0" applyFont="1" applyBorder="1" applyAlignment="1">
      <alignment horizontal="center"/>
    </xf>
    <xf numFmtId="0" fontId="9" fillId="0" borderId="6" xfId="0" applyFont="1" applyBorder="1" applyAlignment="1">
      <alignment wrapText="1"/>
    </xf>
    <xf numFmtId="9" fontId="27" fillId="2" borderId="6" xfId="2" applyFont="1" applyFill="1" applyBorder="1" applyAlignment="1">
      <alignment horizontal="right"/>
    </xf>
    <xf numFmtId="0" fontId="27" fillId="0" borderId="0" xfId="0" applyFont="1"/>
    <xf numFmtId="0" fontId="9" fillId="0" borderId="7" xfId="0" applyFont="1" applyBorder="1" applyAlignment="1">
      <alignment horizontal="center" vertical="center"/>
    </xf>
    <xf numFmtId="0" fontId="9" fillId="0" borderId="6" xfId="0" applyFont="1" applyBorder="1" applyAlignment="1">
      <alignment vertical="center" wrapText="1"/>
    </xf>
    <xf numFmtId="4" fontId="9" fillId="0" borderId="7" xfId="1" applyNumberFormat="1" applyFont="1" applyBorder="1" applyAlignment="1">
      <alignment vertical="center"/>
    </xf>
    <xf numFmtId="0" fontId="9" fillId="0" borderId="10" xfId="0" applyFont="1" applyBorder="1" applyAlignment="1">
      <alignment vertical="center"/>
    </xf>
    <xf numFmtId="9" fontId="9" fillId="2" borderId="6" xfId="2" applyFont="1" applyFill="1" applyBorder="1" applyAlignment="1">
      <alignment horizontal="right" vertical="center"/>
    </xf>
    <xf numFmtId="165" fontId="27" fillId="0" borderId="6" xfId="1" applyNumberFormat="1" applyFont="1" applyFill="1" applyBorder="1" applyAlignment="1"/>
    <xf numFmtId="9" fontId="9" fillId="0" borderId="6" xfId="2" applyFont="1" applyBorder="1" applyAlignment="1">
      <alignment vertical="center"/>
    </xf>
    <xf numFmtId="0" fontId="27" fillId="0" borderId="6" xfId="0" applyFont="1" applyBorder="1" applyAlignment="1">
      <alignment horizontal="center" vertical="center"/>
    </xf>
    <xf numFmtId="0" fontId="27" fillId="0" borderId="6" xfId="0" applyFont="1" applyBorder="1" applyAlignment="1">
      <alignment vertical="center" wrapText="1"/>
    </xf>
    <xf numFmtId="165" fontId="27" fillId="0" borderId="6" xfId="1" applyNumberFormat="1" applyFont="1" applyBorder="1" applyAlignment="1">
      <alignment vertical="center"/>
    </xf>
    <xf numFmtId="9" fontId="27" fillId="0" borderId="6" xfId="2" applyFont="1" applyBorder="1" applyAlignment="1">
      <alignment vertical="center"/>
    </xf>
    <xf numFmtId="0" fontId="27" fillId="0" borderId="0" xfId="0" applyFont="1" applyAlignment="1">
      <alignment vertical="center"/>
    </xf>
    <xf numFmtId="0" fontId="9" fillId="0" borderId="8" xfId="0" applyFont="1" applyBorder="1" applyAlignment="1">
      <alignment horizontal="center" vertical="center"/>
    </xf>
    <xf numFmtId="0" fontId="9" fillId="0" borderId="8" xfId="0" quotePrefix="1" applyFont="1" applyBorder="1" applyAlignment="1">
      <alignment vertical="center" wrapText="1"/>
    </xf>
    <xf numFmtId="165" fontId="9" fillId="0" borderId="8" xfId="1" applyNumberFormat="1" applyFont="1" applyBorder="1" applyAlignment="1">
      <alignment vertical="center"/>
    </xf>
    <xf numFmtId="9" fontId="9" fillId="2" borderId="8" xfId="2" applyFont="1" applyFill="1" applyBorder="1" applyAlignment="1">
      <alignment vertical="center"/>
    </xf>
    <xf numFmtId="4" fontId="9" fillId="0" borderId="8" xfId="0" applyNumberFormat="1" applyFont="1" applyBorder="1" applyAlignment="1">
      <alignment vertical="center"/>
    </xf>
    <xf numFmtId="9" fontId="9" fillId="0" borderId="8" xfId="2" applyFont="1" applyBorder="1" applyAlignment="1">
      <alignment vertical="center"/>
    </xf>
    <xf numFmtId="0" fontId="34" fillId="0" borderId="6" xfId="0" applyFont="1" applyBorder="1" applyAlignment="1">
      <alignment horizontal="center"/>
    </xf>
    <xf numFmtId="0" fontId="34" fillId="0" borderId="6" xfId="0" applyFont="1" applyBorder="1"/>
    <xf numFmtId="165" fontId="30" fillId="0" borderId="6" xfId="1" applyNumberFormat="1" applyFont="1" applyBorder="1" applyAlignment="1"/>
    <xf numFmtId="166" fontId="30" fillId="0" borderId="6" xfId="1" applyNumberFormat="1" applyFont="1" applyBorder="1" applyAlignment="1"/>
    <xf numFmtId="4" fontId="30" fillId="0" borderId="6" xfId="0" applyNumberFormat="1" applyFont="1" applyBorder="1"/>
    <xf numFmtId="9" fontId="30" fillId="0" borderId="6" xfId="2" applyFont="1" applyBorder="1"/>
    <xf numFmtId="9" fontId="30" fillId="0" borderId="6" xfId="2" applyFont="1" applyBorder="1" applyAlignment="1">
      <alignment horizontal="right"/>
    </xf>
    <xf numFmtId="9" fontId="30" fillId="2" borderId="6" xfId="2" applyFont="1" applyFill="1" applyBorder="1"/>
    <xf numFmtId="0" fontId="32" fillId="0" borderId="7" xfId="0" applyFont="1" applyBorder="1"/>
    <xf numFmtId="4" fontId="32" fillId="0" borderId="7" xfId="1" applyNumberFormat="1" applyFont="1" applyBorder="1" applyAlignment="1"/>
    <xf numFmtId="4" fontId="32" fillId="0" borderId="9" xfId="1" applyNumberFormat="1" applyFont="1" applyBorder="1" applyAlignment="1"/>
    <xf numFmtId="9" fontId="33" fillId="2" borderId="9" xfId="2" applyFont="1" applyFill="1" applyBorder="1"/>
    <xf numFmtId="4" fontId="32" fillId="0" borderId="9" xfId="0" applyNumberFormat="1" applyFont="1" applyBorder="1"/>
    <xf numFmtId="4" fontId="9" fillId="0" borderId="5" xfId="1" applyNumberFormat="1" applyFont="1" applyBorder="1" applyAlignment="1"/>
    <xf numFmtId="2" fontId="9" fillId="0" borderId="5" xfId="1" applyNumberFormat="1" applyFont="1" applyBorder="1" applyAlignment="1">
      <alignment horizontal="right"/>
    </xf>
    <xf numFmtId="4" fontId="9" fillId="0" borderId="5" xfId="0" applyNumberFormat="1" applyFont="1" applyBorder="1"/>
    <xf numFmtId="39" fontId="9" fillId="0" borderId="0" xfId="0" applyNumberFormat="1" applyFont="1"/>
    <xf numFmtId="4" fontId="9" fillId="0" borderId="5" xfId="1" applyNumberFormat="1" applyFont="1" applyBorder="1" applyAlignment="1">
      <alignment vertical="center"/>
    </xf>
    <xf numFmtId="2" fontId="9" fillId="0" borderId="5" xfId="1" applyNumberFormat="1" applyFont="1" applyBorder="1" applyAlignment="1">
      <alignment horizontal="right" vertical="center"/>
    </xf>
    <xf numFmtId="4" fontId="9" fillId="0" borderId="5" xfId="0" applyNumberFormat="1" applyFont="1" applyBorder="1" applyAlignment="1">
      <alignment vertical="center"/>
    </xf>
    <xf numFmtId="4" fontId="9" fillId="0" borderId="0" xfId="0" applyNumberFormat="1" applyFont="1" applyAlignment="1">
      <alignment vertical="center"/>
    </xf>
    <xf numFmtId="0" fontId="24" fillId="0" borderId="1" xfId="0" applyFont="1" applyBorder="1" applyAlignment="1">
      <alignment horizontal="right"/>
    </xf>
    <xf numFmtId="0" fontId="24" fillId="0" borderId="0" xfId="0" applyFont="1" applyAlignment="1">
      <alignment horizontal="center"/>
    </xf>
    <xf numFmtId="0" fontId="7" fillId="0" borderId="0" xfId="0" applyFont="1" applyAlignment="1">
      <alignment horizontal="center" vertical="center" wrapText="1"/>
    </xf>
    <xf numFmtId="0" fontId="26" fillId="0" borderId="0" xfId="0" applyFont="1" applyAlignment="1">
      <alignment horizontal="center" vertical="center" wrapText="1"/>
    </xf>
    <xf numFmtId="0" fontId="22" fillId="0" borderId="0" xfId="0" applyFont="1" applyAlignment="1">
      <alignment horizontal="left" wrapText="1"/>
    </xf>
    <xf numFmtId="0" fontId="25" fillId="0" borderId="0" xfId="0" applyFont="1" applyAlignment="1">
      <alignment horizontal="left" vertical="center" wrapText="1"/>
    </xf>
    <xf numFmtId="0" fontId="22" fillId="0" borderId="0" xfId="0" applyFont="1" applyAlignment="1">
      <alignment horizontal="left" vertical="center" wrapText="1"/>
    </xf>
    <xf numFmtId="0" fontId="21" fillId="0" borderId="0" xfId="4" applyFont="1" applyAlignment="1">
      <alignment horizontal="center" vertical="center"/>
    </xf>
    <xf numFmtId="0" fontId="23" fillId="0" borderId="0" xfId="0" applyFont="1" applyAlignment="1">
      <alignment horizontal="center"/>
    </xf>
    <xf numFmtId="0" fontId="20" fillId="0" borderId="0" xfId="4" applyFont="1" applyAlignment="1">
      <alignment horizontal="center"/>
    </xf>
    <xf numFmtId="0" fontId="26" fillId="0" borderId="1" xfId="0" applyFont="1" applyBorder="1" applyAlignment="1">
      <alignment horizontal="right"/>
    </xf>
    <xf numFmtId="0" fontId="8" fillId="0" borderId="0" xfId="0" applyFont="1" applyAlignment="1">
      <alignment horizontal="center" vertical="center" wrapText="1"/>
    </xf>
  </cellXfs>
  <cellStyles count="6">
    <cellStyle name="Comma" xfId="1" builtinId="3"/>
    <cellStyle name="Normal" xfId="0" builtinId="0"/>
    <cellStyle name="Normal 3" xfId="4"/>
    <cellStyle name="Normal 3 2" xfId="5"/>
    <cellStyle name="Normal_6.15.BAOCAOPLP"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F:\DU%20LIEU%20XUAN\PHI_LE%20PHI\NAM%202021\bang%20ke%20nop%20phi_lephi%20thang_nam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7\d\Khue\2002\XN_KSTK\HO_SO\LINH\BEN-CAU\LP-NDIEN\BEN-CAU\MSOF43\EXCEL\TAI_VU\HDONG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01_2021"/>
      <sheetName val="THANG 02_2021"/>
      <sheetName val="THANG 03_2021"/>
      <sheetName val="QUI 1 NAM 2021"/>
      <sheetName val="THANG 04_2021"/>
      <sheetName val="THANG 05_2021"/>
      <sheetName val="THANG 06_2021"/>
      <sheetName val="QUI 2_2021"/>
      <sheetName val="06THANG _2021 "/>
      <sheetName val="THANG 07_2021"/>
      <sheetName val="THANG 08_2021"/>
      <sheetName val="THANG 09_2021"/>
      <sheetName val="QUI 3_2021"/>
      <sheetName val="THANG 10_2021"/>
      <sheetName val="10 THANG 2021"/>
      <sheetName val="THANG 18_11_2021 "/>
      <sheetName val="THANG 11_2021"/>
      <sheetName val="THANG 12_2021"/>
      <sheetName val="NAM 202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C6">
            <v>235423000</v>
          </cell>
        </row>
        <row r="7">
          <cell r="C7">
            <v>160000</v>
          </cell>
        </row>
        <row r="8">
          <cell r="C8">
            <v>500000</v>
          </cell>
        </row>
        <row r="9">
          <cell r="C9">
            <v>1350000</v>
          </cell>
        </row>
        <row r="10">
          <cell r="C10">
            <v>1800000</v>
          </cell>
        </row>
      </sheetData>
      <sheetData sheetId="13"/>
      <sheetData sheetId="14"/>
      <sheetData sheetId="15"/>
      <sheetData sheetId="16"/>
      <sheetData sheetId="17"/>
      <sheetData sheetId="18"/>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6"/>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19"/>
      <sheetName val="XDCB"/>
      <sheetName val="Sheet1 (6)"/>
      <sheetName val="XL4Poppy"/>
      <sheetName val="DI-E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 val="DU_TO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9"/>
  <sheetViews>
    <sheetView tabSelected="1" zoomScaleNormal="100" workbookViewId="0">
      <selection activeCell="I8" sqref="I8"/>
    </sheetView>
  </sheetViews>
  <sheetFormatPr defaultColWidth="15.140625" defaultRowHeight="12.75"/>
  <cols>
    <col min="1" max="1" width="6.5703125" style="1" customWidth="1"/>
    <col min="2" max="2" width="53.28515625" style="1" customWidth="1"/>
    <col min="3" max="3" width="13.85546875" style="4" customWidth="1"/>
    <col min="4" max="4" width="12.7109375" style="5" customWidth="1"/>
    <col min="5" max="5" width="10.5703125" style="1" customWidth="1"/>
    <col min="6" max="6" width="10.85546875" style="1" hidden="1" customWidth="1"/>
    <col min="7" max="7" width="12" style="1" customWidth="1"/>
    <col min="8" max="16384" width="15.140625" style="1"/>
  </cols>
  <sheetData>
    <row r="1" spans="1:7" s="24" customFormat="1" ht="15.75">
      <c r="A1" s="146" t="s">
        <v>0</v>
      </c>
      <c r="B1" s="146"/>
      <c r="C1" s="146"/>
      <c r="D1" s="146"/>
      <c r="E1" s="146"/>
      <c r="F1" s="146"/>
      <c r="G1" s="146"/>
    </row>
    <row r="2" spans="1:7" ht="7.5" customHeight="1">
      <c r="A2" s="14"/>
      <c r="B2" s="14"/>
      <c r="C2" s="2"/>
      <c r="D2" s="3"/>
      <c r="E2" s="14"/>
      <c r="F2" s="14"/>
      <c r="G2" s="14"/>
    </row>
    <row r="3" spans="1:7" s="21" customFormat="1" ht="16.5">
      <c r="A3" s="25" t="s">
        <v>45</v>
      </c>
      <c r="C3" s="26"/>
      <c r="D3" s="17"/>
    </row>
    <row r="4" spans="1:7" s="21" customFormat="1" ht="16.5">
      <c r="A4" s="25" t="s">
        <v>60</v>
      </c>
      <c r="C4" s="26"/>
      <c r="D4" s="17"/>
    </row>
    <row r="5" spans="1:7" s="6" customFormat="1" ht="39" customHeight="1">
      <c r="A5" s="147" t="s">
        <v>110</v>
      </c>
      <c r="B5" s="147"/>
      <c r="C5" s="147"/>
      <c r="D5" s="147"/>
      <c r="E5" s="147"/>
      <c r="F5" s="147"/>
      <c r="G5" s="147"/>
    </row>
    <row r="6" spans="1:7" s="27" customFormat="1" ht="16.5">
      <c r="A6" s="148" t="s">
        <v>103</v>
      </c>
      <c r="B6" s="148"/>
      <c r="C6" s="148"/>
      <c r="D6" s="148"/>
      <c r="E6" s="148"/>
      <c r="F6" s="148"/>
      <c r="G6" s="148"/>
    </row>
    <row r="7" spans="1:7" s="21" customFormat="1" ht="41.25" customHeight="1">
      <c r="A7" s="149" t="s">
        <v>1</v>
      </c>
      <c r="B7" s="149"/>
      <c r="C7" s="149"/>
      <c r="D7" s="149"/>
      <c r="E7" s="149"/>
      <c r="F7" s="149"/>
      <c r="G7" s="149"/>
    </row>
    <row r="8" spans="1:7" s="27" customFormat="1" ht="66.75" customHeight="1">
      <c r="A8" s="150" t="s">
        <v>2</v>
      </c>
      <c r="B8" s="150"/>
      <c r="C8" s="150"/>
      <c r="D8" s="150"/>
      <c r="E8" s="150"/>
      <c r="F8" s="150"/>
      <c r="G8" s="150"/>
    </row>
    <row r="9" spans="1:7" s="27" customFormat="1" ht="29.25" customHeight="1">
      <c r="A9" s="151" t="s">
        <v>111</v>
      </c>
      <c r="B9" s="151"/>
      <c r="C9" s="151"/>
      <c r="D9" s="151"/>
      <c r="E9" s="151"/>
      <c r="F9" s="151"/>
      <c r="G9" s="151"/>
    </row>
    <row r="10" spans="1:7" ht="20.25" customHeight="1">
      <c r="A10" s="7"/>
      <c r="B10" s="8"/>
      <c r="C10" s="9"/>
      <c r="D10" s="10"/>
      <c r="E10" s="145" t="s">
        <v>3</v>
      </c>
      <c r="F10" s="145"/>
      <c r="G10" s="145"/>
    </row>
    <row r="11" spans="1:7" s="24" customFormat="1" ht="121.5" customHeight="1">
      <c r="A11" s="28" t="s">
        <v>4</v>
      </c>
      <c r="B11" s="28" t="s">
        <v>5</v>
      </c>
      <c r="C11" s="29" t="s">
        <v>61</v>
      </c>
      <c r="D11" s="30" t="s">
        <v>96</v>
      </c>
      <c r="E11" s="28" t="s">
        <v>97</v>
      </c>
      <c r="F11" s="28" t="s">
        <v>104</v>
      </c>
      <c r="G11" s="28" t="s">
        <v>98</v>
      </c>
    </row>
    <row r="12" spans="1:7" s="24" customFormat="1" ht="15.75">
      <c r="A12" s="28">
        <v>1</v>
      </c>
      <c r="B12" s="28">
        <v>2</v>
      </c>
      <c r="C12" s="31">
        <v>3</v>
      </c>
      <c r="D12" s="32">
        <v>4</v>
      </c>
      <c r="E12" s="33">
        <v>5</v>
      </c>
      <c r="F12" s="34"/>
      <c r="G12" s="31">
        <v>6</v>
      </c>
    </row>
    <row r="13" spans="1:7" s="42" customFormat="1" ht="15.75">
      <c r="A13" s="35" t="s">
        <v>6</v>
      </c>
      <c r="B13" s="36" t="s">
        <v>7</v>
      </c>
      <c r="C13" s="37">
        <f>SUM(C14)</f>
        <v>3060</v>
      </c>
      <c r="D13" s="38">
        <f>SUM(D14)</f>
        <v>239.233</v>
      </c>
      <c r="E13" s="39">
        <f t="shared" ref="E13:E65" si="0">D13/C13</f>
        <v>7.8180718954248371E-2</v>
      </c>
      <c r="F13" s="40">
        <f>SUM(F14)</f>
        <v>654.14700000000005</v>
      </c>
      <c r="G13" s="41">
        <f t="shared" ref="G13:G61" si="1">D13/F13</f>
        <v>0.36571749163414335</v>
      </c>
    </row>
    <row r="14" spans="1:7" s="24" customFormat="1" ht="15.75">
      <c r="A14" s="124" t="s">
        <v>8</v>
      </c>
      <c r="B14" s="125" t="s">
        <v>9</v>
      </c>
      <c r="C14" s="126">
        <f>SUM(C15,C19)</f>
        <v>3060</v>
      </c>
      <c r="D14" s="127">
        <f>SUM(D15,D19)</f>
        <v>239.233</v>
      </c>
      <c r="E14" s="39">
        <f t="shared" si="0"/>
        <v>7.8180718954248371E-2</v>
      </c>
      <c r="F14" s="128">
        <f>SUM(F15,F19)</f>
        <v>654.14700000000005</v>
      </c>
      <c r="G14" s="129">
        <f t="shared" si="1"/>
        <v>0.36571749163414335</v>
      </c>
    </row>
    <row r="15" spans="1:7" s="24" customFormat="1" ht="15.75">
      <c r="A15" s="43">
        <v>1</v>
      </c>
      <c r="B15" s="44" t="s">
        <v>10</v>
      </c>
      <c r="C15" s="45">
        <f>SUM(C16:C18)</f>
        <v>60</v>
      </c>
      <c r="D15" s="46">
        <f>SUM(D16:D18)</f>
        <v>3.81</v>
      </c>
      <c r="E15" s="47">
        <f t="shared" si="0"/>
        <v>6.3500000000000001E-2</v>
      </c>
      <c r="F15" s="48">
        <f>SUM(F16:F18)</f>
        <v>43.824999999999996</v>
      </c>
      <c r="G15" s="49">
        <f t="shared" si="1"/>
        <v>8.6936679977181977E-2</v>
      </c>
    </row>
    <row r="16" spans="1:7" s="24" customFormat="1" ht="15.75">
      <c r="A16" s="50" t="s">
        <v>11</v>
      </c>
      <c r="B16" s="51" t="s">
        <v>46</v>
      </c>
      <c r="C16" s="52">
        <v>20</v>
      </c>
      <c r="D16" s="53">
        <f>'BS03.QIII-2021_VPS'!D16</f>
        <v>0.16</v>
      </c>
      <c r="E16" s="54">
        <f>D16/C16</f>
        <v>8.0000000000000002E-3</v>
      </c>
      <c r="F16" s="55">
        <f>'BS03.QIII-2021_VPS'!F16</f>
        <v>4.5750000000000002</v>
      </c>
      <c r="G16" s="56">
        <f>D16/F16</f>
        <v>3.4972677595628415E-2</v>
      </c>
    </row>
    <row r="17" spans="1:8" s="24" customFormat="1" ht="15.75">
      <c r="A17" s="50" t="s">
        <v>12</v>
      </c>
      <c r="B17" s="57" t="s">
        <v>67</v>
      </c>
      <c r="C17" s="52">
        <v>10</v>
      </c>
      <c r="D17" s="53">
        <f>'BS03.QIII-2021_VPS'!D17</f>
        <v>1.8</v>
      </c>
      <c r="E17" s="54">
        <f>D17/C17</f>
        <v>0.18</v>
      </c>
      <c r="F17" s="55">
        <f>'BS03.QIII-2021_VPS'!F17</f>
        <v>3.45</v>
      </c>
      <c r="G17" s="56">
        <f>D17/F17</f>
        <v>0.52173913043478259</v>
      </c>
    </row>
    <row r="18" spans="1:8" s="24" customFormat="1" ht="15.75">
      <c r="A18" s="50" t="s">
        <v>13</v>
      </c>
      <c r="B18" s="57" t="s">
        <v>66</v>
      </c>
      <c r="C18" s="52">
        <v>30</v>
      </c>
      <c r="D18" s="53">
        <f>'BS03.QIII-2021_VPS'!D18</f>
        <v>1.85</v>
      </c>
      <c r="E18" s="54">
        <f t="shared" si="0"/>
        <v>6.1666666666666668E-2</v>
      </c>
      <c r="F18" s="55">
        <f>'BS03.QIII-2021_VPS'!F18</f>
        <v>35.799999999999997</v>
      </c>
      <c r="G18" s="56">
        <f>D18/F18</f>
        <v>5.1675977653631293E-2</v>
      </c>
    </row>
    <row r="19" spans="1:8" s="24" customFormat="1" ht="15.75">
      <c r="A19" s="59">
        <v>2</v>
      </c>
      <c r="B19" s="60" t="s">
        <v>14</v>
      </c>
      <c r="C19" s="45">
        <f>SUM(C20:C20)</f>
        <v>3000</v>
      </c>
      <c r="D19" s="45">
        <f>SUM(D20:D20)</f>
        <v>235.423</v>
      </c>
      <c r="E19" s="47">
        <f t="shared" si="0"/>
        <v>7.847433333333334E-2</v>
      </c>
      <c r="F19" s="48">
        <f>SUM(F20:F20)</f>
        <v>610.322</v>
      </c>
      <c r="G19" s="49">
        <f t="shared" si="1"/>
        <v>0.38573572638705472</v>
      </c>
    </row>
    <row r="20" spans="1:8" s="24" customFormat="1" ht="28.5" customHeight="1">
      <c r="A20" s="61" t="s">
        <v>15</v>
      </c>
      <c r="B20" s="62" t="s">
        <v>68</v>
      </c>
      <c r="C20" s="52">
        <v>3000</v>
      </c>
      <c r="D20" s="58">
        <f>'BS03.QIII-2021_VPS'!D20</f>
        <v>235.423</v>
      </c>
      <c r="E20" s="54">
        <f t="shared" si="0"/>
        <v>7.847433333333334E-2</v>
      </c>
      <c r="F20" s="55">
        <f>'BS03.QIII-2021_VPS'!F20</f>
        <v>610.322</v>
      </c>
      <c r="G20" s="56">
        <f t="shared" si="1"/>
        <v>0.38573572638705472</v>
      </c>
    </row>
    <row r="21" spans="1:8" s="24" customFormat="1" ht="15.75">
      <c r="A21" s="124" t="s">
        <v>62</v>
      </c>
      <c r="B21" s="125" t="s">
        <v>63</v>
      </c>
      <c r="C21" s="126">
        <v>0</v>
      </c>
      <c r="D21" s="126">
        <v>0</v>
      </c>
      <c r="E21" s="39">
        <v>0</v>
      </c>
      <c r="F21" s="128">
        <v>0</v>
      </c>
      <c r="G21" s="130" t="e">
        <f t="shared" si="1"/>
        <v>#DIV/0!</v>
      </c>
    </row>
    <row r="22" spans="1:8" s="24" customFormat="1" ht="15.75">
      <c r="A22" s="124" t="s">
        <v>64</v>
      </c>
      <c r="B22" s="125" t="s">
        <v>65</v>
      </c>
      <c r="C22" s="126">
        <f>C23+C27</f>
        <v>3060</v>
      </c>
      <c r="D22" s="127">
        <f>SUM(D23,D27)</f>
        <v>239.233</v>
      </c>
      <c r="E22" s="39">
        <f>D22/C22</f>
        <v>7.8180718954248371E-2</v>
      </c>
      <c r="F22" s="128">
        <f>F23+F27</f>
        <v>654.14700000000005</v>
      </c>
      <c r="G22" s="129">
        <f t="shared" si="1"/>
        <v>0.36571749163414335</v>
      </c>
    </row>
    <row r="23" spans="1:8" s="24" customFormat="1" ht="15.75">
      <c r="A23" s="43">
        <v>1</v>
      </c>
      <c r="B23" s="44" t="s">
        <v>10</v>
      </c>
      <c r="C23" s="45">
        <f>C24+C25+C26</f>
        <v>60</v>
      </c>
      <c r="D23" s="46">
        <f>SUM(D24:D26)</f>
        <v>3.81</v>
      </c>
      <c r="E23" s="47">
        <f>D23/C23</f>
        <v>6.3500000000000001E-2</v>
      </c>
      <c r="F23" s="45">
        <f>SUM(F24:F26)</f>
        <v>43.824999999999996</v>
      </c>
      <c r="G23" s="49">
        <f>D23/F23</f>
        <v>8.6936679977181977E-2</v>
      </c>
    </row>
    <row r="24" spans="1:8" s="24" customFormat="1" ht="15.75">
      <c r="A24" s="50" t="s">
        <v>11</v>
      </c>
      <c r="B24" s="51" t="s">
        <v>46</v>
      </c>
      <c r="C24" s="58">
        <v>20</v>
      </c>
      <c r="D24" s="53">
        <f>D16</f>
        <v>0.16</v>
      </c>
      <c r="E24" s="54">
        <f t="shared" si="0"/>
        <v>8.0000000000000002E-3</v>
      </c>
      <c r="F24" s="55">
        <f>F16</f>
        <v>4.5750000000000002</v>
      </c>
      <c r="G24" s="56">
        <f>D24/F24</f>
        <v>3.4972677595628415E-2</v>
      </c>
    </row>
    <row r="25" spans="1:8" s="24" customFormat="1" ht="15.75">
      <c r="A25" s="50" t="s">
        <v>12</v>
      </c>
      <c r="B25" s="57" t="s">
        <v>47</v>
      </c>
      <c r="C25" s="58">
        <v>10</v>
      </c>
      <c r="D25" s="58">
        <f>D17</f>
        <v>1.8</v>
      </c>
      <c r="E25" s="54">
        <f t="shared" si="0"/>
        <v>0.18</v>
      </c>
      <c r="F25" s="55">
        <f>F17</f>
        <v>3.45</v>
      </c>
      <c r="G25" s="56">
        <f t="shared" si="1"/>
        <v>0.52173913043478259</v>
      </c>
    </row>
    <row r="26" spans="1:8" s="24" customFormat="1" ht="15.75">
      <c r="A26" s="50" t="s">
        <v>13</v>
      </c>
      <c r="B26" s="64" t="s">
        <v>48</v>
      </c>
      <c r="C26" s="58">
        <v>30</v>
      </c>
      <c r="D26" s="58">
        <f>D18</f>
        <v>1.85</v>
      </c>
      <c r="E26" s="54">
        <f t="shared" si="0"/>
        <v>6.1666666666666668E-2</v>
      </c>
      <c r="F26" s="55">
        <f>F18</f>
        <v>35.799999999999997</v>
      </c>
      <c r="G26" s="56">
        <f t="shared" si="1"/>
        <v>5.1675977653631293E-2</v>
      </c>
    </row>
    <row r="27" spans="1:8" s="24" customFormat="1" ht="15.75">
      <c r="A27" s="59">
        <v>2</v>
      </c>
      <c r="B27" s="60" t="s">
        <v>14</v>
      </c>
      <c r="C27" s="45">
        <f>C28</f>
        <v>3000</v>
      </c>
      <c r="D27" s="45">
        <f>SUM(D28:D28)</f>
        <v>235.423</v>
      </c>
      <c r="E27" s="47">
        <f>D27/C27</f>
        <v>7.847433333333334E-2</v>
      </c>
      <c r="F27" s="48">
        <f>F28</f>
        <v>610.322</v>
      </c>
      <c r="G27" s="56">
        <f t="shared" si="1"/>
        <v>0.38573572638705472</v>
      </c>
    </row>
    <row r="28" spans="1:8" s="24" customFormat="1" ht="15.75">
      <c r="A28" s="61" t="s">
        <v>15</v>
      </c>
      <c r="B28" s="64" t="s">
        <v>49</v>
      </c>
      <c r="C28" s="58">
        <f>3000</f>
        <v>3000</v>
      </c>
      <c r="D28" s="58">
        <f>D20</f>
        <v>235.423</v>
      </c>
      <c r="E28" s="54">
        <f t="shared" si="0"/>
        <v>7.847433333333334E-2</v>
      </c>
      <c r="F28" s="55">
        <f>F20</f>
        <v>610.322</v>
      </c>
      <c r="G28" s="56">
        <f t="shared" si="1"/>
        <v>0.38573572638705472</v>
      </c>
    </row>
    <row r="29" spans="1:8" s="42" customFormat="1" ht="15.75">
      <c r="A29" s="65" t="s">
        <v>18</v>
      </c>
      <c r="B29" s="66" t="s">
        <v>19</v>
      </c>
      <c r="C29" s="67">
        <f>C30</f>
        <v>15076.918999999998</v>
      </c>
      <c r="D29" s="67">
        <f t="shared" ref="D29:F29" si="2">D30</f>
        <v>2041.0930000000001</v>
      </c>
      <c r="E29" s="39">
        <f>D29/C29</f>
        <v>0.13537865395443197</v>
      </c>
      <c r="F29" s="67">
        <f t="shared" si="2"/>
        <v>1889.1599999999999</v>
      </c>
      <c r="G29" s="131">
        <f t="shared" ref="G29:G35" si="3">D29/F29</f>
        <v>1.0804235744987192</v>
      </c>
    </row>
    <row r="30" spans="1:8" s="24" customFormat="1" ht="15.75">
      <c r="A30" s="65" t="s">
        <v>8</v>
      </c>
      <c r="B30" s="66" t="s">
        <v>20</v>
      </c>
      <c r="C30" s="67">
        <f>C31+C57+C60+C64+C62</f>
        <v>15076.918999999998</v>
      </c>
      <c r="D30" s="67">
        <f>D31+D57+D60+D64+D62</f>
        <v>2041.0930000000001</v>
      </c>
      <c r="E30" s="39">
        <f t="shared" si="0"/>
        <v>0.13537865395443197</v>
      </c>
      <c r="F30" s="67">
        <f>F31+F57+F60+F64+F62</f>
        <v>1889.1599999999999</v>
      </c>
      <c r="G30" s="129">
        <f t="shared" si="3"/>
        <v>1.0804235744987192</v>
      </c>
    </row>
    <row r="31" spans="1:8" s="24" customFormat="1" ht="15.75">
      <c r="A31" s="59">
        <v>1</v>
      </c>
      <c r="B31" s="60" t="s">
        <v>17</v>
      </c>
      <c r="C31" s="69">
        <f>C32+C37</f>
        <v>8918.6189999999988</v>
      </c>
      <c r="D31" s="69">
        <f>D32+D37</f>
        <v>1831.703</v>
      </c>
      <c r="E31" s="47">
        <f>D31/C31</f>
        <v>0.20537966696413426</v>
      </c>
      <c r="F31" s="69">
        <f>F32+F37</f>
        <v>1593.12</v>
      </c>
      <c r="G31" s="49">
        <f>D31/F31</f>
        <v>1.1497583358441299</v>
      </c>
    </row>
    <row r="32" spans="1:8" s="24" customFormat="1" ht="14.25" customHeight="1">
      <c r="A32" s="61" t="s">
        <v>11</v>
      </c>
      <c r="B32" s="70" t="s">
        <v>21</v>
      </c>
      <c r="C32" s="71">
        <f>C33+C34+C36+C35</f>
        <v>4615.92</v>
      </c>
      <c r="D32" s="71">
        <f>D33+D34+D36+D35</f>
        <v>965.86699999999996</v>
      </c>
      <c r="E32" s="71">
        <f t="shared" ref="E32:F32" si="4">E33+E34+E36+E35</f>
        <v>0.82549877202803335</v>
      </c>
      <c r="F32" s="71">
        <f t="shared" si="4"/>
        <v>1101.8499999999999</v>
      </c>
      <c r="G32" s="49">
        <f t="shared" si="3"/>
        <v>0.87658664972546174</v>
      </c>
      <c r="H32" s="78"/>
    </row>
    <row r="33" spans="1:9" s="24" customFormat="1" ht="15.75">
      <c r="A33" s="61" t="s">
        <v>22</v>
      </c>
      <c r="B33" s="64" t="s">
        <v>23</v>
      </c>
      <c r="C33" s="72">
        <f>'BS03.QIII-2021_VPS'!C33+536</f>
        <v>2607</v>
      </c>
      <c r="D33" s="58">
        <f>'BS03.QIII-2021_VPS'!D33+143.04</f>
        <v>584.15499999999997</v>
      </c>
      <c r="E33" s="54">
        <f t="shared" si="0"/>
        <v>0.22407172995780589</v>
      </c>
      <c r="F33" s="55">
        <f>'BS03.QIII-2021_VPS'!F33+102.74</f>
        <v>581.88</v>
      </c>
      <c r="G33" s="56">
        <f t="shared" si="3"/>
        <v>1.0039097408400357</v>
      </c>
    </row>
    <row r="34" spans="1:9" s="24" customFormat="1" ht="15.75">
      <c r="A34" s="61" t="s">
        <v>24</v>
      </c>
      <c r="B34" s="64" t="s">
        <v>69</v>
      </c>
      <c r="C34" s="72">
        <f>'BS03.QIII-2021_VPS'!C34+104</f>
        <v>520</v>
      </c>
      <c r="D34" s="58">
        <f>'BS03.QIII-2021_VPS'!D34+15.75</f>
        <v>120.43600000000001</v>
      </c>
      <c r="E34" s="54">
        <f t="shared" si="0"/>
        <v>0.23160769230769232</v>
      </c>
      <c r="F34" s="55">
        <f>'BS03.QIII-2021_VPS'!F34+15.75</f>
        <v>97.94</v>
      </c>
      <c r="G34" s="56">
        <f t="shared" si="3"/>
        <v>1.2296916479477231</v>
      </c>
    </row>
    <row r="35" spans="1:9" s="24" customFormat="1" ht="15.75">
      <c r="A35" s="61" t="s">
        <v>25</v>
      </c>
      <c r="B35" s="64" t="s">
        <v>70</v>
      </c>
      <c r="C35" s="72">
        <f>'BS03.QIII-2021_VPS'!C35+222.7</f>
        <v>885.92000000000007</v>
      </c>
      <c r="D35" s="58">
        <f>'BS03.QIII-2021_VPS'!D35+28.5</f>
        <v>119.852</v>
      </c>
      <c r="E35" s="54">
        <f t="shared" si="0"/>
        <v>0.1352853530792848</v>
      </c>
      <c r="F35" s="55">
        <f>'BS03.QIII-2021_VPS'!F35+39.57</f>
        <v>291.68</v>
      </c>
      <c r="G35" s="56">
        <f t="shared" si="3"/>
        <v>0.4109023587493143</v>
      </c>
    </row>
    <row r="36" spans="1:9" s="24" customFormat="1" ht="15.75">
      <c r="A36" s="61" t="s">
        <v>52</v>
      </c>
      <c r="B36" s="64" t="s">
        <v>71</v>
      </c>
      <c r="C36" s="72">
        <f>'BS03.QIII-2021_VPS'!C36+124</f>
        <v>603</v>
      </c>
      <c r="D36" s="58">
        <f>'BS03.QIII-2021_VPS'!D36+32.48</f>
        <v>141.42400000000001</v>
      </c>
      <c r="E36" s="54">
        <f t="shared" si="0"/>
        <v>0.23453399668325042</v>
      </c>
      <c r="F36" s="55">
        <f>'BS03.QIII-2021_VPS'!F36+23.77</f>
        <v>130.35</v>
      </c>
      <c r="G36" s="56">
        <f t="shared" ref="G36" si="5">D36/F36</f>
        <v>1.0849558879938628</v>
      </c>
    </row>
    <row r="37" spans="1:9" s="24" customFormat="1" ht="15.75">
      <c r="A37" s="61" t="s">
        <v>12</v>
      </c>
      <c r="B37" s="132" t="s">
        <v>16</v>
      </c>
      <c r="C37" s="133">
        <f>SUM(C38:C56)</f>
        <v>4302.6989999999996</v>
      </c>
      <c r="D37" s="134">
        <f>SUM(D38:D56)</f>
        <v>865.83600000000001</v>
      </c>
      <c r="E37" s="135">
        <f t="shared" si="0"/>
        <v>0.20123090181302483</v>
      </c>
      <c r="F37" s="136">
        <f>SUM(F38:F56)</f>
        <v>491.27000000000004</v>
      </c>
      <c r="G37" s="49">
        <f>D37/F37</f>
        <v>1.762444277077778</v>
      </c>
    </row>
    <row r="38" spans="1:9" s="24" customFormat="1" ht="15.75">
      <c r="A38" s="61" t="s">
        <v>26</v>
      </c>
      <c r="B38" s="64" t="s">
        <v>72</v>
      </c>
      <c r="C38" s="137">
        <f>'BS03.QIII-2021_VPS'!C38+40</f>
        <v>94</v>
      </c>
      <c r="D38" s="138">
        <f>'BS03.QIII-2021_VPS'!D38</f>
        <v>11</v>
      </c>
      <c r="E38" s="54">
        <f>D38/C38</f>
        <v>0.11702127659574468</v>
      </c>
      <c r="F38" s="139">
        <f>'BS03.QIII-2021_VPS'!F38</f>
        <v>0</v>
      </c>
      <c r="G38" s="63" t="e">
        <f>D38/F38</f>
        <v>#DIV/0!</v>
      </c>
    </row>
    <row r="39" spans="1:9" s="24" customFormat="1" ht="15.75">
      <c r="A39" s="61" t="s">
        <v>27</v>
      </c>
      <c r="B39" s="64" t="s">
        <v>73</v>
      </c>
      <c r="C39" s="137">
        <f>'BS03.QIII-2021_VPS'!C39</f>
        <v>64.8</v>
      </c>
      <c r="D39" s="138">
        <f>'BS03.QIII-2021_VPS'!D39</f>
        <v>0</v>
      </c>
      <c r="E39" s="54">
        <f t="shared" si="0"/>
        <v>0</v>
      </c>
      <c r="F39" s="139">
        <f>'BS03.QIII-2021_VPS'!F39</f>
        <v>0.05</v>
      </c>
      <c r="G39" s="63">
        <f t="shared" ref="G39:G56" si="6">D39/F39</f>
        <v>0</v>
      </c>
    </row>
    <row r="40" spans="1:9" s="24" customFormat="1" ht="15.75" customHeight="1">
      <c r="A40" s="61" t="s">
        <v>28</v>
      </c>
      <c r="B40" s="64" t="s">
        <v>53</v>
      </c>
      <c r="C40" s="137">
        <f>'BS03.QIII-2021_VPS'!C40</f>
        <v>58.36</v>
      </c>
      <c r="D40" s="138">
        <f>'BS03.QIII-2021_VPS'!D40</f>
        <v>8.0459999999999994</v>
      </c>
      <c r="E40" s="54">
        <f t="shared" si="0"/>
        <v>0.13786840301576422</v>
      </c>
      <c r="F40" s="139">
        <f>'BS03.QIII-2021_VPS'!F40</f>
        <v>17.72</v>
      </c>
      <c r="G40" s="63">
        <f t="shared" si="6"/>
        <v>0.4540632054176072</v>
      </c>
    </row>
    <row r="41" spans="1:9" s="24" customFormat="1" ht="15.75">
      <c r="A41" s="61" t="s">
        <v>29</v>
      </c>
      <c r="B41" s="64" t="s">
        <v>74</v>
      </c>
      <c r="C41" s="137">
        <f>'BS03.QIII-2021_VPS'!C41</f>
        <v>16</v>
      </c>
      <c r="D41" s="138">
        <f>'BS03.QIII-2021_VPS'!D41</f>
        <v>0</v>
      </c>
      <c r="E41" s="54">
        <f t="shared" si="0"/>
        <v>0</v>
      </c>
      <c r="F41" s="139">
        <f>'BS03.QIII-2021_VPS'!F41</f>
        <v>0</v>
      </c>
      <c r="G41" s="63" t="e">
        <f t="shared" si="6"/>
        <v>#DIV/0!</v>
      </c>
    </row>
    <row r="42" spans="1:9" s="24" customFormat="1" ht="15.75">
      <c r="A42" s="61" t="s">
        <v>30</v>
      </c>
      <c r="B42" s="64" t="s">
        <v>75</v>
      </c>
      <c r="C42" s="137">
        <f>'BS03.QIII-2021_VPS'!C42</f>
        <v>130</v>
      </c>
      <c r="D42" s="138">
        <f>'BS03.QIII-2021_VPS'!D42</f>
        <v>0</v>
      </c>
      <c r="E42" s="54">
        <f t="shared" si="0"/>
        <v>0</v>
      </c>
      <c r="F42" s="139">
        <f>'BS03.QIII-2021_VPS'!F42</f>
        <v>0</v>
      </c>
      <c r="G42" s="63" t="e">
        <f t="shared" si="6"/>
        <v>#DIV/0!</v>
      </c>
    </row>
    <row r="43" spans="1:9" s="24" customFormat="1" ht="15.75">
      <c r="A43" s="61" t="s">
        <v>31</v>
      </c>
      <c r="B43" s="64" t="s">
        <v>76</v>
      </c>
      <c r="C43" s="137">
        <f>'BS03.QIII-2021_VPS'!C43</f>
        <v>9</v>
      </c>
      <c r="D43" s="138">
        <f>'BS03.QIII-2021_VPS'!D43</f>
        <v>0</v>
      </c>
      <c r="E43" s="54">
        <f t="shared" si="0"/>
        <v>0</v>
      </c>
      <c r="F43" s="139">
        <f>'BS03.QIII-2021_VPS'!F43</f>
        <v>0</v>
      </c>
      <c r="G43" s="63" t="e">
        <f t="shared" si="6"/>
        <v>#DIV/0!</v>
      </c>
    </row>
    <row r="44" spans="1:9" s="24" customFormat="1" ht="15.75">
      <c r="A44" s="61" t="s">
        <v>32</v>
      </c>
      <c r="B44" s="64" t="s">
        <v>55</v>
      </c>
      <c r="C44" s="137">
        <f>'BS03.QIII-2021_VPS'!C44</f>
        <v>493.43</v>
      </c>
      <c r="D44" s="138">
        <f>'BS03.QIII-2021_VPS'!D44</f>
        <v>18.18</v>
      </c>
      <c r="E44" s="54">
        <f t="shared" si="0"/>
        <v>3.6844131893075005E-2</v>
      </c>
      <c r="F44" s="139">
        <f>'BS03.QIII-2021_VPS'!F44</f>
        <v>45.84</v>
      </c>
      <c r="G44" s="63">
        <f t="shared" si="6"/>
        <v>0.39659685863874344</v>
      </c>
    </row>
    <row r="45" spans="1:9" s="24" customFormat="1" ht="15.75">
      <c r="A45" s="61" t="s">
        <v>33</v>
      </c>
      <c r="B45" s="64" t="s">
        <v>56</v>
      </c>
      <c r="C45" s="137">
        <f>'BS03.QIII-2021_VPS'!C45</f>
        <v>20.7</v>
      </c>
      <c r="D45" s="138">
        <f>'BS03.QIII-2021_VPS'!D45</f>
        <v>0</v>
      </c>
      <c r="E45" s="54">
        <f t="shared" si="0"/>
        <v>0</v>
      </c>
      <c r="F45" s="139">
        <f>'BS03.QIII-2021_VPS'!F45</f>
        <v>0</v>
      </c>
      <c r="G45" s="63" t="e">
        <f t="shared" si="6"/>
        <v>#DIV/0!</v>
      </c>
    </row>
    <row r="46" spans="1:9" s="24" customFormat="1" ht="15.75">
      <c r="A46" s="61" t="s">
        <v>34</v>
      </c>
      <c r="B46" s="64" t="s">
        <v>54</v>
      </c>
      <c r="C46" s="137">
        <f>'BS03.QIII-2021_VPS'!C46</f>
        <v>27.509</v>
      </c>
      <c r="D46" s="138">
        <f>'BS03.QIII-2021_VPS'!D46</f>
        <v>4.95</v>
      </c>
      <c r="E46" s="54">
        <f t="shared" si="0"/>
        <v>0.17994111018212222</v>
      </c>
      <c r="F46" s="139">
        <f>'BS03.QIII-2021_VPS'!F46</f>
        <v>0</v>
      </c>
      <c r="G46" s="63" t="e">
        <f t="shared" si="6"/>
        <v>#DIV/0!</v>
      </c>
    </row>
    <row r="47" spans="1:9" s="92" customFormat="1" ht="47.25">
      <c r="A47" s="85" t="s">
        <v>35</v>
      </c>
      <c r="B47" s="86" t="s">
        <v>77</v>
      </c>
      <c r="C47" s="141">
        <f>'BS03.QIII-2021_VPS'!C47</f>
        <v>225</v>
      </c>
      <c r="D47" s="142">
        <f>'BS03.QIII-2021_VPS'!D47</f>
        <v>0</v>
      </c>
      <c r="E47" s="89">
        <f t="shared" si="0"/>
        <v>0</v>
      </c>
      <c r="F47" s="143">
        <f>'BS03.QIII-2021_VPS'!F47</f>
        <v>0</v>
      </c>
      <c r="G47" s="91" t="e">
        <f t="shared" si="6"/>
        <v>#DIV/0!</v>
      </c>
      <c r="I47" s="144"/>
    </row>
    <row r="48" spans="1:9" s="92" customFormat="1" ht="47.25">
      <c r="A48" s="85" t="s">
        <v>36</v>
      </c>
      <c r="B48" s="86" t="s">
        <v>78</v>
      </c>
      <c r="C48" s="141">
        <f>'BS03.QIII-2021_VPS'!C48</f>
        <v>170</v>
      </c>
      <c r="D48" s="142">
        <f>'BS03.QIII-2021_VPS'!D48</f>
        <v>0</v>
      </c>
      <c r="E48" s="89">
        <f t="shared" si="0"/>
        <v>0</v>
      </c>
      <c r="F48" s="143">
        <f>'BS03.QIII-2021_VPS'!F48</f>
        <v>0</v>
      </c>
      <c r="G48" s="91" t="e">
        <f t="shared" si="6"/>
        <v>#DIV/0!</v>
      </c>
    </row>
    <row r="49" spans="1:9" s="92" customFormat="1" ht="31.5">
      <c r="A49" s="85" t="s">
        <v>83</v>
      </c>
      <c r="B49" s="86" t="s">
        <v>89</v>
      </c>
      <c r="C49" s="87">
        <v>1487</v>
      </c>
      <c r="D49" s="142">
        <f>'BS03.QIII-2021_VPS'!D49</f>
        <v>483</v>
      </c>
      <c r="E49" s="89">
        <f t="shared" ref="E49:E52" si="7">D49/C49</f>
        <v>0.32481506388702086</v>
      </c>
      <c r="F49" s="143">
        <f>'BS03.QIII-2021_VPS'!F49</f>
        <v>0</v>
      </c>
      <c r="G49" s="91" t="e">
        <f t="shared" ref="G49:G52" si="8">D49/F49</f>
        <v>#DIV/0!</v>
      </c>
    </row>
    <row r="50" spans="1:9" s="92" customFormat="1" ht="47.25">
      <c r="A50" s="85" t="s">
        <v>84</v>
      </c>
      <c r="B50" s="86" t="s">
        <v>99</v>
      </c>
      <c r="C50" s="87">
        <v>249.4</v>
      </c>
      <c r="D50" s="142">
        <f>'BS03.QIII-2021_VPS'!D50</f>
        <v>243.9</v>
      </c>
      <c r="E50" s="89">
        <f t="shared" si="7"/>
        <v>0.97794707297514039</v>
      </c>
      <c r="F50" s="143">
        <f>'BS03.QIII-2021_VPS'!F50</f>
        <v>195.35</v>
      </c>
      <c r="G50" s="91">
        <f t="shared" si="8"/>
        <v>1.2485282825697466</v>
      </c>
    </row>
    <row r="51" spans="1:9" s="92" customFormat="1" ht="47.25">
      <c r="A51" s="85" t="s">
        <v>85</v>
      </c>
      <c r="B51" s="86" t="s">
        <v>100</v>
      </c>
      <c r="C51" s="87">
        <v>556</v>
      </c>
      <c r="D51" s="142">
        <f>'BS03.QIII-2021_VPS'!D51</f>
        <v>0</v>
      </c>
      <c r="E51" s="89">
        <f t="shared" si="7"/>
        <v>0</v>
      </c>
      <c r="F51" s="143">
        <f>'BS03.QIII-2021_VPS'!F51</f>
        <v>202.65</v>
      </c>
      <c r="G51" s="91">
        <f t="shared" si="8"/>
        <v>0</v>
      </c>
    </row>
    <row r="52" spans="1:9" s="92" customFormat="1" ht="31.5">
      <c r="A52" s="85" t="s">
        <v>86</v>
      </c>
      <c r="B52" s="86" t="s">
        <v>101</v>
      </c>
      <c r="C52" s="87">
        <v>354.6</v>
      </c>
      <c r="D52" s="142">
        <f>'BS03.QIII-2021_VPS'!D52</f>
        <v>96</v>
      </c>
      <c r="E52" s="89">
        <f t="shared" si="7"/>
        <v>0.27072758037225042</v>
      </c>
      <c r="F52" s="143">
        <f>'BS03.QIII-2021_VPS'!F52</f>
        <v>0</v>
      </c>
      <c r="G52" s="91" t="e">
        <f t="shared" si="8"/>
        <v>#DIV/0!</v>
      </c>
    </row>
    <row r="53" spans="1:9" s="24" customFormat="1" ht="15.75">
      <c r="A53" s="61" t="s">
        <v>105</v>
      </c>
      <c r="B53" s="64" t="s">
        <v>79</v>
      </c>
      <c r="C53" s="72">
        <v>90</v>
      </c>
      <c r="D53" s="83"/>
      <c r="E53" s="54">
        <f t="shared" si="0"/>
        <v>0</v>
      </c>
      <c r="F53" s="139">
        <v>0</v>
      </c>
      <c r="G53" s="63" t="e">
        <f t="shared" si="6"/>
        <v>#DIV/0!</v>
      </c>
    </row>
    <row r="54" spans="1:9" s="24" customFormat="1" ht="15.75">
      <c r="A54" s="61" t="s">
        <v>106</v>
      </c>
      <c r="B54" s="64" t="s">
        <v>80</v>
      </c>
      <c r="C54" s="72">
        <v>176.9</v>
      </c>
      <c r="D54" s="83">
        <v>0.76</v>
      </c>
      <c r="E54" s="54">
        <f t="shared" si="0"/>
        <v>4.2962125494629732E-3</v>
      </c>
      <c r="F54" s="139">
        <v>3.35</v>
      </c>
      <c r="G54" s="63">
        <f t="shared" si="6"/>
        <v>0.22686567164179103</v>
      </c>
    </row>
    <row r="55" spans="1:9" s="24" customFormat="1" ht="15.75">
      <c r="A55" s="61" t="s">
        <v>107</v>
      </c>
      <c r="B55" s="64" t="s">
        <v>81</v>
      </c>
      <c r="C55" s="72">
        <v>70</v>
      </c>
      <c r="D55" s="83">
        <v>0</v>
      </c>
      <c r="E55" s="54">
        <f t="shared" si="0"/>
        <v>0</v>
      </c>
      <c r="F55" s="139">
        <v>26.31</v>
      </c>
      <c r="G55" s="63">
        <f t="shared" si="6"/>
        <v>0</v>
      </c>
      <c r="I55" s="140"/>
    </row>
    <row r="56" spans="1:9" s="24" customFormat="1" ht="15.75">
      <c r="A56" s="61" t="s">
        <v>108</v>
      </c>
      <c r="B56" s="64" t="s">
        <v>82</v>
      </c>
      <c r="C56" s="72">
        <v>10</v>
      </c>
      <c r="D56" s="83">
        <v>0</v>
      </c>
      <c r="E56" s="54">
        <f t="shared" si="0"/>
        <v>0</v>
      </c>
      <c r="F56" s="139">
        <f>'BS03.QIII-2021_VPS'!F56</f>
        <v>0</v>
      </c>
      <c r="G56" s="63" t="e">
        <f t="shared" si="6"/>
        <v>#DIV/0!</v>
      </c>
    </row>
    <row r="57" spans="1:9" s="24" customFormat="1" ht="15.75">
      <c r="A57" s="59">
        <v>2</v>
      </c>
      <c r="B57" s="60" t="s">
        <v>37</v>
      </c>
      <c r="C57" s="69">
        <f>SUM(C58:C58)</f>
        <v>6067</v>
      </c>
      <c r="D57" s="69">
        <f t="shared" ref="D57:F57" si="9">SUM(D58:D58)</f>
        <v>207.9</v>
      </c>
      <c r="E57" s="93">
        <f t="shared" si="0"/>
        <v>3.4267347947914951E-2</v>
      </c>
      <c r="F57" s="69">
        <f t="shared" si="9"/>
        <v>287.10000000000002</v>
      </c>
      <c r="G57" s="94">
        <f>F57/D57</f>
        <v>1.3809523809523809</v>
      </c>
    </row>
    <row r="58" spans="1:9" s="24" customFormat="1" ht="15.75">
      <c r="A58" s="59" t="s">
        <v>15</v>
      </c>
      <c r="B58" s="60" t="s">
        <v>16</v>
      </c>
      <c r="C58" s="69">
        <f>SUM(C59:C59)</f>
        <v>6067</v>
      </c>
      <c r="D58" s="69">
        <f>SUM(D59:D59)</f>
        <v>207.9</v>
      </c>
      <c r="E58" s="93">
        <f t="shared" si="0"/>
        <v>3.4267347947914951E-2</v>
      </c>
      <c r="F58" s="69">
        <f>SUM(F59:F59)</f>
        <v>287.10000000000002</v>
      </c>
      <c r="G58" s="94">
        <f>F58/D58</f>
        <v>1.3809523809523809</v>
      </c>
    </row>
    <row r="59" spans="1:9" s="24" customFormat="1" ht="15.75">
      <c r="A59" s="95" t="s">
        <v>38</v>
      </c>
      <c r="B59" s="96" t="s">
        <v>57</v>
      </c>
      <c r="C59" s="97">
        <v>6067</v>
      </c>
      <c r="D59" s="97">
        <v>207.9</v>
      </c>
      <c r="E59" s="80">
        <f t="shared" si="0"/>
        <v>3.4267347947914951E-2</v>
      </c>
      <c r="F59" s="98">
        <f>'BS03.QIII-2021_VPS'!F55</f>
        <v>287.10000000000002</v>
      </c>
      <c r="G59" s="91">
        <f>F59/D59</f>
        <v>1.3809523809523809</v>
      </c>
    </row>
    <row r="60" spans="1:9" s="24" customFormat="1" ht="14.25" customHeight="1">
      <c r="A60" s="99">
        <v>3</v>
      </c>
      <c r="B60" s="100" t="s">
        <v>39</v>
      </c>
      <c r="C60" s="101">
        <f>SUM(C61)</f>
        <v>55.3</v>
      </c>
      <c r="D60" s="45">
        <f>D61</f>
        <v>0</v>
      </c>
      <c r="E60" s="68">
        <f t="shared" si="0"/>
        <v>0</v>
      </c>
      <c r="F60" s="48">
        <f>F61</f>
        <v>0</v>
      </c>
      <c r="G60" s="94" t="e">
        <f t="shared" si="1"/>
        <v>#DIV/0!</v>
      </c>
    </row>
    <row r="61" spans="1:9" s="24" customFormat="1" ht="14.25" customHeight="1">
      <c r="A61" s="102" t="s">
        <v>40</v>
      </c>
      <c r="B61" s="103" t="s">
        <v>58</v>
      </c>
      <c r="C61" s="74">
        <v>55.3</v>
      </c>
      <c r="D61" s="58">
        <v>0</v>
      </c>
      <c r="E61" s="80">
        <f t="shared" si="0"/>
        <v>0</v>
      </c>
      <c r="F61" s="55">
        <v>0</v>
      </c>
      <c r="G61" s="91" t="e">
        <f t="shared" si="1"/>
        <v>#DIV/0!</v>
      </c>
    </row>
    <row r="62" spans="1:9" s="105" customFormat="1" ht="14.25" customHeight="1">
      <c r="A62" s="99">
        <v>4</v>
      </c>
      <c r="B62" s="100" t="s">
        <v>41</v>
      </c>
      <c r="C62" s="101">
        <f>C63</f>
        <v>0</v>
      </c>
      <c r="D62" s="69">
        <f t="shared" ref="D62" si="10">D63</f>
        <v>0</v>
      </c>
      <c r="E62" s="104" t="e">
        <f>E63</f>
        <v>#DIV/0!</v>
      </c>
      <c r="F62" s="77">
        <f>F63</f>
        <v>0</v>
      </c>
      <c r="G62" s="94" t="e">
        <f>F62/D62</f>
        <v>#DIV/0!</v>
      </c>
    </row>
    <row r="63" spans="1:9" s="92" customFormat="1" ht="22.5" customHeight="1">
      <c r="A63" s="106" t="s">
        <v>42</v>
      </c>
      <c r="B63" s="107" t="s">
        <v>43</v>
      </c>
      <c r="C63" s="108">
        <v>0</v>
      </c>
      <c r="D63" s="109">
        <v>0</v>
      </c>
      <c r="E63" s="110" t="e">
        <f t="shared" si="0"/>
        <v>#DIV/0!</v>
      </c>
      <c r="F63" s="90">
        <v>0</v>
      </c>
      <c r="G63" s="91" t="e">
        <f>F63/D63</f>
        <v>#DIV/0!</v>
      </c>
    </row>
    <row r="64" spans="1:9" s="117" customFormat="1" ht="15.75">
      <c r="A64" s="113">
        <v>5</v>
      </c>
      <c r="B64" s="114" t="s">
        <v>50</v>
      </c>
      <c r="C64" s="115">
        <f>C65</f>
        <v>36</v>
      </c>
      <c r="D64" s="115">
        <f>D65</f>
        <v>1.49</v>
      </c>
      <c r="E64" s="68">
        <f>E65</f>
        <v>4.1388888888888892E-2</v>
      </c>
      <c r="F64" s="77">
        <f>F65</f>
        <v>8.94</v>
      </c>
      <c r="G64" s="112">
        <f>D64/F64</f>
        <v>0.16666666666666669</v>
      </c>
    </row>
    <row r="65" spans="1:7" s="92" customFormat="1" ht="15.75">
      <c r="A65" s="118" t="s">
        <v>51</v>
      </c>
      <c r="B65" s="119" t="s">
        <v>59</v>
      </c>
      <c r="C65" s="120">
        <v>36</v>
      </c>
      <c r="D65" s="120">
        <v>1.49</v>
      </c>
      <c r="E65" s="121">
        <f t="shared" si="0"/>
        <v>4.1388888888888892E-2</v>
      </c>
      <c r="F65" s="122">
        <v>8.94</v>
      </c>
      <c r="G65" s="123">
        <f>D65/F65</f>
        <v>0.16666666666666669</v>
      </c>
    </row>
    <row r="66" spans="1:7" ht="8.25" customHeight="1"/>
    <row r="67" spans="1:7" ht="15.75" customHeight="1">
      <c r="D67" s="17"/>
      <c r="E67" s="18" t="s">
        <v>109</v>
      </c>
      <c r="F67" s="15"/>
      <c r="G67" s="16"/>
    </row>
    <row r="68" spans="1:7" s="6" customFormat="1" ht="18.75" customHeight="1">
      <c r="C68" s="11"/>
      <c r="D68" s="19"/>
      <c r="E68" s="20" t="s">
        <v>44</v>
      </c>
      <c r="F68" s="12"/>
      <c r="G68" s="13"/>
    </row>
    <row r="69" spans="1:7" ht="16.5">
      <c r="D69" s="17"/>
      <c r="E69" s="21"/>
      <c r="F69" s="21"/>
      <c r="G69" s="21"/>
    </row>
  </sheetData>
  <mergeCells count="7">
    <mergeCell ref="E10:G10"/>
    <mergeCell ref="A1:G1"/>
    <mergeCell ref="A5:G5"/>
    <mergeCell ref="A6:G6"/>
    <mergeCell ref="A7:G7"/>
    <mergeCell ref="A8:G8"/>
    <mergeCell ref="A9:G9"/>
  </mergeCells>
  <phoneticPr fontId="17" type="noConversion"/>
  <pageMargins left="0.59055118100000004" right="0.25" top="0.44685039399999998" bottom="0.44685039399999998" header="0.31496062992126" footer="0.31496062992126"/>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opLeftCell="A20" workbookViewId="0">
      <selection activeCell="J21" sqref="I21:J21"/>
    </sheetView>
  </sheetViews>
  <sheetFormatPr defaultColWidth="15.140625" defaultRowHeight="12.75"/>
  <cols>
    <col min="1" max="1" width="6.5703125" style="1" customWidth="1"/>
    <col min="2" max="2" width="55" style="1" customWidth="1"/>
    <col min="3" max="3" width="12.7109375" style="4" customWidth="1"/>
    <col min="4" max="4" width="13.7109375" style="5" customWidth="1"/>
    <col min="5" max="5" width="12.28515625" style="1" customWidth="1"/>
    <col min="6" max="6" width="10.85546875" style="1" hidden="1" customWidth="1"/>
    <col min="7" max="7" width="12.140625" style="1" customWidth="1"/>
    <col min="8" max="16384" width="15.140625" style="1"/>
  </cols>
  <sheetData>
    <row r="1" spans="1:7" s="24" customFormat="1" ht="15.75">
      <c r="A1" s="146" t="s">
        <v>0</v>
      </c>
      <c r="B1" s="146"/>
      <c r="C1" s="146"/>
      <c r="D1" s="146"/>
      <c r="E1" s="146"/>
      <c r="F1" s="146"/>
      <c r="G1" s="146"/>
    </row>
    <row r="2" spans="1:7" ht="7.5" customHeight="1">
      <c r="A2" s="22"/>
      <c r="B2" s="22"/>
      <c r="C2" s="2"/>
      <c r="D2" s="3"/>
      <c r="E2" s="22"/>
      <c r="F2" s="22"/>
      <c r="G2" s="22"/>
    </row>
    <row r="3" spans="1:7" s="21" customFormat="1" ht="16.5">
      <c r="A3" s="25" t="s">
        <v>88</v>
      </c>
      <c r="C3" s="26"/>
      <c r="D3" s="17"/>
    </row>
    <row r="4" spans="1:7" s="21" customFormat="1" ht="16.5">
      <c r="A4" s="25" t="s">
        <v>60</v>
      </c>
      <c r="C4" s="26"/>
      <c r="D4" s="17"/>
    </row>
    <row r="5" spans="1:7" s="6" customFormat="1" ht="39" customHeight="1">
      <c r="A5" s="147" t="s">
        <v>94</v>
      </c>
      <c r="B5" s="147"/>
      <c r="C5" s="147"/>
      <c r="D5" s="147"/>
      <c r="E5" s="147"/>
      <c r="F5" s="147"/>
      <c r="G5" s="147"/>
    </row>
    <row r="6" spans="1:7" s="6" customFormat="1" ht="18.75" hidden="1">
      <c r="A6" s="156" t="s">
        <v>90</v>
      </c>
      <c r="B6" s="156"/>
      <c r="C6" s="156"/>
      <c r="D6" s="156"/>
      <c r="E6" s="156"/>
      <c r="F6" s="156"/>
      <c r="G6" s="156"/>
    </row>
    <row r="7" spans="1:7" s="21" customFormat="1" ht="42" customHeight="1">
      <c r="A7" s="149" t="s">
        <v>1</v>
      </c>
      <c r="B7" s="149"/>
      <c r="C7" s="149"/>
      <c r="D7" s="149"/>
      <c r="E7" s="149"/>
      <c r="F7" s="149"/>
      <c r="G7" s="149"/>
    </row>
    <row r="8" spans="1:7" s="27" customFormat="1" ht="73.5" customHeight="1">
      <c r="A8" s="150" t="s">
        <v>2</v>
      </c>
      <c r="B8" s="150"/>
      <c r="C8" s="150"/>
      <c r="D8" s="150"/>
      <c r="E8" s="150"/>
      <c r="F8" s="150"/>
      <c r="G8" s="150"/>
    </row>
    <row r="9" spans="1:7" s="27" customFormat="1" ht="37.5" customHeight="1">
      <c r="A9" s="151" t="s">
        <v>95</v>
      </c>
      <c r="B9" s="151"/>
      <c r="C9" s="151"/>
      <c r="D9" s="151"/>
      <c r="E9" s="151"/>
      <c r="F9" s="151"/>
      <c r="G9" s="151"/>
    </row>
    <row r="10" spans="1:7" ht="20.25" customHeight="1">
      <c r="A10" s="7"/>
      <c r="B10" s="8"/>
      <c r="C10" s="9"/>
      <c r="D10" s="10"/>
      <c r="E10" s="155" t="s">
        <v>3</v>
      </c>
      <c r="F10" s="155"/>
      <c r="G10" s="155"/>
    </row>
    <row r="11" spans="1:7" s="24" customFormat="1" ht="110.25" customHeight="1">
      <c r="A11" s="28" t="s">
        <v>4</v>
      </c>
      <c r="B11" s="28" t="s">
        <v>5</v>
      </c>
      <c r="C11" s="29" t="s">
        <v>61</v>
      </c>
      <c r="D11" s="30" t="s">
        <v>96</v>
      </c>
      <c r="E11" s="28" t="s">
        <v>97</v>
      </c>
      <c r="F11" s="28" t="s">
        <v>87</v>
      </c>
      <c r="G11" s="28" t="s">
        <v>98</v>
      </c>
    </row>
    <row r="12" spans="1:7" s="24" customFormat="1" ht="15.75">
      <c r="A12" s="28">
        <v>1</v>
      </c>
      <c r="B12" s="28">
        <v>2</v>
      </c>
      <c r="C12" s="31">
        <v>3</v>
      </c>
      <c r="D12" s="32">
        <v>4</v>
      </c>
      <c r="E12" s="33">
        <v>5</v>
      </c>
      <c r="F12" s="34"/>
      <c r="G12" s="31">
        <v>6</v>
      </c>
    </row>
    <row r="13" spans="1:7" s="42" customFormat="1" ht="15.75">
      <c r="A13" s="35" t="s">
        <v>6</v>
      </c>
      <c r="B13" s="36" t="s">
        <v>7</v>
      </c>
      <c r="C13" s="37">
        <f>SUM(C14)</f>
        <v>3060</v>
      </c>
      <c r="D13" s="38">
        <f>SUM(D14)</f>
        <v>239.233</v>
      </c>
      <c r="E13" s="39">
        <f t="shared" ref="E13:E62" si="0">D13/C13</f>
        <v>7.8180718954248371E-2</v>
      </c>
      <c r="F13" s="40">
        <f>SUM(F14)</f>
        <v>654.14700000000005</v>
      </c>
      <c r="G13" s="41">
        <f>D13/F13</f>
        <v>0.36571749163414335</v>
      </c>
    </row>
    <row r="14" spans="1:7" s="24" customFormat="1" ht="15.75">
      <c r="A14" s="43" t="s">
        <v>8</v>
      </c>
      <c r="B14" s="44" t="s">
        <v>9</v>
      </c>
      <c r="C14" s="45">
        <f>SUM(C15,C19)</f>
        <v>3060</v>
      </c>
      <c r="D14" s="46">
        <f>SUM(D15,D19)</f>
        <v>239.233</v>
      </c>
      <c r="E14" s="47">
        <f t="shared" si="0"/>
        <v>7.8180718954248371E-2</v>
      </c>
      <c r="F14" s="48">
        <f>SUM(F15,F19)</f>
        <v>654.14700000000005</v>
      </c>
      <c r="G14" s="49">
        <f>D14/F14</f>
        <v>0.36571749163414335</v>
      </c>
    </row>
    <row r="15" spans="1:7" s="24" customFormat="1" ht="15.75">
      <c r="A15" s="43">
        <v>1</v>
      </c>
      <c r="B15" s="44" t="s">
        <v>10</v>
      </c>
      <c r="C15" s="45">
        <f>SUM(C16:C18)</f>
        <v>60</v>
      </c>
      <c r="D15" s="46">
        <f>SUM(D16:D18)</f>
        <v>3.81</v>
      </c>
      <c r="E15" s="47">
        <f t="shared" si="0"/>
        <v>6.3500000000000001E-2</v>
      </c>
      <c r="F15" s="48">
        <f>SUM(F16:F18)</f>
        <v>43.824999999999996</v>
      </c>
      <c r="G15" s="49">
        <f t="shared" ref="G15:G60" si="1">D15/F15</f>
        <v>8.6936679977181977E-2</v>
      </c>
    </row>
    <row r="16" spans="1:7" s="24" customFormat="1" ht="15.75">
      <c r="A16" s="50" t="s">
        <v>11</v>
      </c>
      <c r="B16" s="51" t="s">
        <v>46</v>
      </c>
      <c r="C16" s="52">
        <v>20</v>
      </c>
      <c r="D16" s="53">
        <f>'[10]QUI 3_2021'!$C$7/1000000</f>
        <v>0.16</v>
      </c>
      <c r="E16" s="54">
        <f>D16/C16</f>
        <v>8.0000000000000002E-3</v>
      </c>
      <c r="F16" s="55">
        <f>4575000/1000000</f>
        <v>4.5750000000000002</v>
      </c>
      <c r="G16" s="56">
        <f>D16/F16</f>
        <v>3.4972677595628415E-2</v>
      </c>
    </row>
    <row r="17" spans="1:7" s="24" customFormat="1" ht="15.75">
      <c r="A17" s="50" t="s">
        <v>12</v>
      </c>
      <c r="B17" s="57" t="s">
        <v>67</v>
      </c>
      <c r="C17" s="52">
        <v>10</v>
      </c>
      <c r="D17" s="58">
        <f>'[10]QUI 3_2021'!$C$10/1000000</f>
        <v>1.8</v>
      </c>
      <c r="E17" s="54">
        <f>D17/C17</f>
        <v>0.18</v>
      </c>
      <c r="F17" s="55">
        <f>3450000/1000000</f>
        <v>3.45</v>
      </c>
      <c r="G17" s="56">
        <f>D17/F17</f>
        <v>0.52173913043478259</v>
      </c>
    </row>
    <row r="18" spans="1:7" s="24" customFormat="1" ht="15.75">
      <c r="A18" s="50" t="s">
        <v>13</v>
      </c>
      <c r="B18" s="57" t="s">
        <v>66</v>
      </c>
      <c r="C18" s="52">
        <v>30</v>
      </c>
      <c r="D18" s="58">
        <f>('[10]QUI 3_2021'!$C$8+'[10]QUI 3_2021'!$C$9)/1000000</f>
        <v>1.85</v>
      </c>
      <c r="E18" s="54">
        <f t="shared" si="0"/>
        <v>6.1666666666666668E-2</v>
      </c>
      <c r="F18" s="55">
        <f>35800000/1000000</f>
        <v>35.799999999999997</v>
      </c>
      <c r="G18" s="56">
        <f>D18/F18</f>
        <v>5.1675977653631293E-2</v>
      </c>
    </row>
    <row r="19" spans="1:7" s="24" customFormat="1" ht="15.75">
      <c r="A19" s="59">
        <v>2</v>
      </c>
      <c r="B19" s="60" t="s">
        <v>14</v>
      </c>
      <c r="C19" s="45">
        <f>SUM(C20:C20)</f>
        <v>3000</v>
      </c>
      <c r="D19" s="45">
        <f>SUM(D20:D20)</f>
        <v>235.423</v>
      </c>
      <c r="E19" s="47">
        <f t="shared" si="0"/>
        <v>7.847433333333334E-2</v>
      </c>
      <c r="F19" s="48">
        <f>SUM(F20:F20)</f>
        <v>610.322</v>
      </c>
      <c r="G19" s="49">
        <f>D19/F19</f>
        <v>0.38573572638705472</v>
      </c>
    </row>
    <row r="20" spans="1:7" s="24" customFormat="1" ht="28.5" customHeight="1">
      <c r="A20" s="61" t="s">
        <v>15</v>
      </c>
      <c r="B20" s="62" t="s">
        <v>68</v>
      </c>
      <c r="C20" s="52">
        <v>3000</v>
      </c>
      <c r="D20" s="58">
        <f>'[10]QUI 3_2021'!$C$6/1000000</f>
        <v>235.423</v>
      </c>
      <c r="E20" s="54">
        <f t="shared" si="0"/>
        <v>7.847433333333334E-2</v>
      </c>
      <c r="F20" s="55">
        <f>610322000/1000000</f>
        <v>610.322</v>
      </c>
      <c r="G20" s="56">
        <f t="shared" si="1"/>
        <v>0.38573572638705472</v>
      </c>
    </row>
    <row r="21" spans="1:7" s="24" customFormat="1" ht="15.75">
      <c r="A21" s="43" t="s">
        <v>62</v>
      </c>
      <c r="B21" s="44" t="s">
        <v>63</v>
      </c>
      <c r="C21" s="58">
        <v>0</v>
      </c>
      <c r="D21" s="58">
        <v>0</v>
      </c>
      <c r="E21" s="54">
        <v>0</v>
      </c>
      <c r="F21" s="55">
        <v>0</v>
      </c>
      <c r="G21" s="63" t="e">
        <f t="shared" si="1"/>
        <v>#DIV/0!</v>
      </c>
    </row>
    <row r="22" spans="1:7" s="24" customFormat="1" ht="15.75">
      <c r="A22" s="43" t="s">
        <v>64</v>
      </c>
      <c r="B22" s="44" t="s">
        <v>65</v>
      </c>
      <c r="C22" s="45">
        <f>C23+C27</f>
        <v>3060</v>
      </c>
      <c r="D22" s="46">
        <f>SUM(D23,D27)</f>
        <v>239.233</v>
      </c>
      <c r="E22" s="47">
        <f>D22/C22</f>
        <v>7.8180718954248371E-2</v>
      </c>
      <c r="F22" s="48">
        <f>F23+F27</f>
        <v>654.14700000000005</v>
      </c>
      <c r="G22" s="49">
        <f>D22/F22</f>
        <v>0.36571749163414335</v>
      </c>
    </row>
    <row r="23" spans="1:7" s="24" customFormat="1" ht="15.75">
      <c r="A23" s="43">
        <v>1</v>
      </c>
      <c r="B23" s="44" t="s">
        <v>10</v>
      </c>
      <c r="C23" s="45">
        <f>C24+C25+C26</f>
        <v>60</v>
      </c>
      <c r="D23" s="46">
        <f>SUM(D24:D26)</f>
        <v>3.81</v>
      </c>
      <c r="E23" s="47">
        <f>D23/C23</f>
        <v>6.3500000000000001E-2</v>
      </c>
      <c r="F23" s="45">
        <f>SUM(F24:F26)</f>
        <v>43.824999999999996</v>
      </c>
      <c r="G23" s="49">
        <f t="shared" si="1"/>
        <v>8.6936679977181977E-2</v>
      </c>
    </row>
    <row r="24" spans="1:7" s="24" customFormat="1" ht="15.75">
      <c r="A24" s="50" t="s">
        <v>11</v>
      </c>
      <c r="B24" s="51" t="s">
        <v>46</v>
      </c>
      <c r="C24" s="58">
        <v>20</v>
      </c>
      <c r="D24" s="53">
        <f>D16</f>
        <v>0.16</v>
      </c>
      <c r="E24" s="54">
        <f t="shared" si="0"/>
        <v>8.0000000000000002E-3</v>
      </c>
      <c r="F24" s="55">
        <f>F16</f>
        <v>4.5750000000000002</v>
      </c>
      <c r="G24" s="56">
        <f t="shared" si="1"/>
        <v>3.4972677595628415E-2</v>
      </c>
    </row>
    <row r="25" spans="1:7" s="24" customFormat="1" ht="15.75">
      <c r="A25" s="50" t="s">
        <v>12</v>
      </c>
      <c r="B25" s="57" t="s">
        <v>47</v>
      </c>
      <c r="C25" s="58">
        <v>10</v>
      </c>
      <c r="D25" s="58">
        <f>D17</f>
        <v>1.8</v>
      </c>
      <c r="E25" s="54">
        <f t="shared" si="0"/>
        <v>0.18</v>
      </c>
      <c r="F25" s="55">
        <f>F17</f>
        <v>3.45</v>
      </c>
      <c r="G25" s="56">
        <f t="shared" si="1"/>
        <v>0.52173913043478259</v>
      </c>
    </row>
    <row r="26" spans="1:7" s="24" customFormat="1" ht="15.75">
      <c r="A26" s="50" t="s">
        <v>13</v>
      </c>
      <c r="B26" s="64" t="s">
        <v>48</v>
      </c>
      <c r="C26" s="58">
        <v>30</v>
      </c>
      <c r="D26" s="58">
        <f>D18</f>
        <v>1.85</v>
      </c>
      <c r="E26" s="54">
        <f t="shared" si="0"/>
        <v>6.1666666666666668E-2</v>
      </c>
      <c r="F26" s="55">
        <f>F18</f>
        <v>35.799999999999997</v>
      </c>
      <c r="G26" s="56">
        <f t="shared" si="1"/>
        <v>5.1675977653631293E-2</v>
      </c>
    </row>
    <row r="27" spans="1:7" s="24" customFormat="1" ht="15.75">
      <c r="A27" s="59">
        <v>2</v>
      </c>
      <c r="B27" s="60" t="s">
        <v>14</v>
      </c>
      <c r="C27" s="45">
        <f>C28</f>
        <v>3000</v>
      </c>
      <c r="D27" s="45">
        <f>SUM(D28:D28)</f>
        <v>235.423</v>
      </c>
      <c r="E27" s="47">
        <f>D27/C27</f>
        <v>7.847433333333334E-2</v>
      </c>
      <c r="F27" s="48">
        <f>F28</f>
        <v>610.322</v>
      </c>
      <c r="G27" s="49">
        <f>D27/F27</f>
        <v>0.38573572638705472</v>
      </c>
    </row>
    <row r="28" spans="1:7" s="24" customFormat="1" ht="15.75">
      <c r="A28" s="61" t="s">
        <v>15</v>
      </c>
      <c r="B28" s="64" t="s">
        <v>49</v>
      </c>
      <c r="C28" s="58">
        <f>3000</f>
        <v>3000</v>
      </c>
      <c r="D28" s="58">
        <f>D20</f>
        <v>235.423</v>
      </c>
      <c r="E28" s="54">
        <f t="shared" si="0"/>
        <v>7.847433333333334E-2</v>
      </c>
      <c r="F28" s="55">
        <f>F20</f>
        <v>610.322</v>
      </c>
      <c r="G28" s="56">
        <f t="shared" si="1"/>
        <v>0.38573572638705472</v>
      </c>
    </row>
    <row r="29" spans="1:7" s="42" customFormat="1" ht="15.75">
      <c r="A29" s="65" t="s">
        <v>18</v>
      </c>
      <c r="B29" s="66" t="s">
        <v>19</v>
      </c>
      <c r="C29" s="67">
        <f>C30</f>
        <v>13697.019</v>
      </c>
      <c r="D29" s="67">
        <f t="shared" ref="D29:F29" si="2">D30</f>
        <v>1820.5630000000001</v>
      </c>
      <c r="E29" s="47">
        <f>D29/C29</f>
        <v>0.13291673173556962</v>
      </c>
      <c r="F29" s="67">
        <f t="shared" si="2"/>
        <v>1677.67</v>
      </c>
      <c r="G29" s="68">
        <f>D29/F29</f>
        <v>1.0851734846543122</v>
      </c>
    </row>
    <row r="30" spans="1:7" s="24" customFormat="1" ht="15.75">
      <c r="A30" s="65" t="s">
        <v>8</v>
      </c>
      <c r="B30" s="66" t="s">
        <v>20</v>
      </c>
      <c r="C30" s="67">
        <f>C31+C53+C56+C61+C58</f>
        <v>13697.019</v>
      </c>
      <c r="D30" s="67">
        <f>D31+D53+D56+D61+D58</f>
        <v>1820.5630000000001</v>
      </c>
      <c r="E30" s="47">
        <f t="shared" si="0"/>
        <v>0.13291673173556962</v>
      </c>
      <c r="F30" s="67">
        <f>F31+F53+F56+F61+F58</f>
        <v>1677.67</v>
      </c>
      <c r="G30" s="49">
        <f>D30/F30</f>
        <v>1.0851734846543122</v>
      </c>
    </row>
    <row r="31" spans="1:7" s="24" customFormat="1" ht="15.75">
      <c r="A31" s="59">
        <v>1</v>
      </c>
      <c r="B31" s="60" t="s">
        <v>17</v>
      </c>
      <c r="C31" s="69">
        <f>C32+C37</f>
        <v>7545.0190000000002</v>
      </c>
      <c r="D31" s="69">
        <f>D32+D37</f>
        <v>1611.173</v>
      </c>
      <c r="E31" s="47">
        <f>D31/C31</f>
        <v>0.21354127802726539</v>
      </c>
      <c r="F31" s="69">
        <f>F32+F37</f>
        <v>1381.63</v>
      </c>
      <c r="G31" s="49">
        <f>D31/F31</f>
        <v>1.1661392702822029</v>
      </c>
    </row>
    <row r="32" spans="1:7" s="24" customFormat="1" ht="14.25" customHeight="1">
      <c r="A32" s="61" t="s">
        <v>11</v>
      </c>
      <c r="B32" s="70" t="s">
        <v>21</v>
      </c>
      <c r="C32" s="71">
        <f>C33+C34+C36+C35</f>
        <v>3629.2200000000003</v>
      </c>
      <c r="D32" s="71">
        <f>D33+D34+D36+D35</f>
        <v>746.09699999999998</v>
      </c>
      <c r="E32" s="71">
        <f t="shared" ref="E32:F32" si="3">E33+E34+E36+E35</f>
        <v>0.82982579303899739</v>
      </c>
      <c r="F32" s="71">
        <f t="shared" si="3"/>
        <v>920.02</v>
      </c>
      <c r="G32" s="49">
        <f t="shared" si="1"/>
        <v>0.81095737049194583</v>
      </c>
    </row>
    <row r="33" spans="1:8" s="24" customFormat="1" ht="15.75">
      <c r="A33" s="61" t="s">
        <v>22</v>
      </c>
      <c r="B33" s="64" t="s">
        <v>23</v>
      </c>
      <c r="C33" s="72">
        <f>2071</f>
        <v>2071</v>
      </c>
      <c r="D33" s="58">
        <f>495.315-15.8-38.4</f>
        <v>441.11500000000001</v>
      </c>
      <c r="E33" s="54">
        <f t="shared" si="0"/>
        <v>0.21299613713182039</v>
      </c>
      <c r="F33" s="55">
        <v>479.14</v>
      </c>
      <c r="G33" s="56">
        <f t="shared" si="1"/>
        <v>0.92063906165212672</v>
      </c>
    </row>
    <row r="34" spans="1:8" s="24" customFormat="1" ht="15.75">
      <c r="A34" s="61" t="s">
        <v>24</v>
      </c>
      <c r="B34" s="64" t="s">
        <v>69</v>
      </c>
      <c r="C34" s="72">
        <v>416</v>
      </c>
      <c r="D34" s="73">
        <v>104.68600000000001</v>
      </c>
      <c r="E34" s="54">
        <f t="shared" si="0"/>
        <v>0.25164903846153847</v>
      </c>
      <c r="F34" s="55">
        <v>82.19</v>
      </c>
      <c r="G34" s="56">
        <f t="shared" si="1"/>
        <v>1.2737072636573794</v>
      </c>
    </row>
    <row r="35" spans="1:8" s="24" customFormat="1" ht="15.75">
      <c r="A35" s="61" t="s">
        <v>25</v>
      </c>
      <c r="B35" s="64" t="s">
        <v>70</v>
      </c>
      <c r="C35" s="74">
        <f>761-97.78</f>
        <v>663.22</v>
      </c>
      <c r="D35" s="73">
        <f>37.152+15.8+38.4</f>
        <v>91.352000000000004</v>
      </c>
      <c r="E35" s="54">
        <f t="shared" si="0"/>
        <v>0.13774011640179729</v>
      </c>
      <c r="F35" s="55">
        <v>252.11</v>
      </c>
      <c r="G35" s="56">
        <f t="shared" si="1"/>
        <v>0.36234976795843082</v>
      </c>
    </row>
    <row r="36" spans="1:8" s="24" customFormat="1" ht="15.75">
      <c r="A36" s="61" t="s">
        <v>52</v>
      </c>
      <c r="B36" s="64" t="s">
        <v>71</v>
      </c>
      <c r="C36" s="74">
        <v>479</v>
      </c>
      <c r="D36" s="73">
        <v>108.944</v>
      </c>
      <c r="E36" s="54">
        <f t="shared" si="0"/>
        <v>0.22744050104384134</v>
      </c>
      <c r="F36" s="55">
        <v>106.58</v>
      </c>
      <c r="G36" s="56">
        <f t="shared" si="1"/>
        <v>1.02218052167386</v>
      </c>
    </row>
    <row r="37" spans="1:8" s="24" customFormat="1" ht="15.75">
      <c r="A37" s="61" t="s">
        <v>12</v>
      </c>
      <c r="B37" s="75" t="s">
        <v>16</v>
      </c>
      <c r="C37" s="71">
        <f>SUM(C38:C52)</f>
        <v>3915.799</v>
      </c>
      <c r="D37" s="71">
        <f>SUM(D38:D52)</f>
        <v>865.07600000000002</v>
      </c>
      <c r="E37" s="76">
        <f t="shared" si="0"/>
        <v>0.22091940878477165</v>
      </c>
      <c r="F37" s="77">
        <f>SUM(F38:F52)</f>
        <v>461.61</v>
      </c>
      <c r="G37" s="49">
        <f>D37/F37</f>
        <v>1.8740408570004983</v>
      </c>
      <c r="H37" s="78"/>
    </row>
    <row r="38" spans="1:8" s="24" customFormat="1" ht="15.75">
      <c r="A38" s="61" t="s">
        <v>26</v>
      </c>
      <c r="B38" s="57" t="s">
        <v>72</v>
      </c>
      <c r="C38" s="72">
        <f>60-6</f>
        <v>54</v>
      </c>
      <c r="D38" s="79">
        <v>11</v>
      </c>
      <c r="E38" s="80">
        <f>D38/C38</f>
        <v>0.20370370370370369</v>
      </c>
      <c r="F38" s="55">
        <v>0</v>
      </c>
      <c r="G38" s="63" t="e">
        <f>D38/F38</f>
        <v>#DIV/0!</v>
      </c>
    </row>
    <row r="39" spans="1:8" s="24" customFormat="1" ht="15.75">
      <c r="A39" s="61" t="s">
        <v>27</v>
      </c>
      <c r="B39" s="64" t="s">
        <v>73</v>
      </c>
      <c r="C39" s="72">
        <f>72000000/1000000-7.2</f>
        <v>64.8</v>
      </c>
      <c r="D39" s="81">
        <v>0</v>
      </c>
      <c r="E39" s="54">
        <f t="shared" si="0"/>
        <v>0</v>
      </c>
      <c r="F39" s="55">
        <v>0.05</v>
      </c>
      <c r="G39" s="63">
        <f t="shared" ref="G39:G48" si="4">D39/F39</f>
        <v>0</v>
      </c>
    </row>
    <row r="40" spans="1:8" s="24" customFormat="1" ht="15.75" customHeight="1">
      <c r="A40" s="61" t="s">
        <v>28</v>
      </c>
      <c r="B40" s="64" t="s">
        <v>53</v>
      </c>
      <c r="C40" s="82">
        <f>61000000/1000000-2.64</f>
        <v>58.36</v>
      </c>
      <c r="D40" s="83">
        <v>8.0459999999999994</v>
      </c>
      <c r="E40" s="54">
        <f t="shared" si="0"/>
        <v>0.13786840301576422</v>
      </c>
      <c r="F40" s="55">
        <v>17.72</v>
      </c>
      <c r="G40" s="63">
        <f t="shared" si="4"/>
        <v>0.4540632054176072</v>
      </c>
    </row>
    <row r="41" spans="1:8" s="24" customFormat="1" ht="15.75">
      <c r="A41" s="61" t="s">
        <v>29</v>
      </c>
      <c r="B41" s="64" t="s">
        <v>74</v>
      </c>
      <c r="C41" s="72">
        <f>16000000/1000000</f>
        <v>16</v>
      </c>
      <c r="D41" s="83">
        <v>0</v>
      </c>
      <c r="E41" s="54">
        <f t="shared" si="0"/>
        <v>0</v>
      </c>
      <c r="F41" s="84">
        <v>0</v>
      </c>
      <c r="G41" s="63" t="e">
        <f t="shared" si="4"/>
        <v>#DIV/0!</v>
      </c>
    </row>
    <row r="42" spans="1:8" s="24" customFormat="1" ht="15.75">
      <c r="A42" s="61" t="s">
        <v>30</v>
      </c>
      <c r="B42" s="64" t="s">
        <v>75</v>
      </c>
      <c r="C42" s="72">
        <f>130000000/1000000</f>
        <v>130</v>
      </c>
      <c r="D42" s="83">
        <v>0</v>
      </c>
      <c r="E42" s="54">
        <f t="shared" si="0"/>
        <v>0</v>
      </c>
      <c r="F42" s="55">
        <v>0</v>
      </c>
      <c r="G42" s="63" t="e">
        <f t="shared" si="4"/>
        <v>#DIV/0!</v>
      </c>
    </row>
    <row r="43" spans="1:8" s="24" customFormat="1" ht="15.75">
      <c r="A43" s="61" t="s">
        <v>31</v>
      </c>
      <c r="B43" s="64" t="s">
        <v>76</v>
      </c>
      <c r="C43" s="72">
        <f>10000000/1000000-1</f>
        <v>9</v>
      </c>
      <c r="D43" s="83">
        <v>0</v>
      </c>
      <c r="E43" s="54">
        <f t="shared" si="0"/>
        <v>0</v>
      </c>
      <c r="F43" s="55">
        <v>0</v>
      </c>
      <c r="G43" s="63" t="e">
        <f t="shared" si="4"/>
        <v>#DIV/0!</v>
      </c>
    </row>
    <row r="44" spans="1:8" s="24" customFormat="1" ht="15.75">
      <c r="A44" s="61" t="s">
        <v>32</v>
      </c>
      <c r="B44" s="64" t="s">
        <v>55</v>
      </c>
      <c r="C44" s="72">
        <f>540000000/1000000-46.57</f>
        <v>493.43</v>
      </c>
      <c r="D44" s="83">
        <v>18.18</v>
      </c>
      <c r="E44" s="54">
        <f t="shared" si="0"/>
        <v>3.6844131893075005E-2</v>
      </c>
      <c r="F44" s="55">
        <v>45.84</v>
      </c>
      <c r="G44" s="63">
        <f t="shared" si="4"/>
        <v>0.39659685863874344</v>
      </c>
    </row>
    <row r="45" spans="1:8" s="24" customFormat="1" ht="15.75">
      <c r="A45" s="61" t="s">
        <v>33</v>
      </c>
      <c r="B45" s="64" t="s">
        <v>56</v>
      </c>
      <c r="C45" s="72">
        <f>23000000/1000000-2.3</f>
        <v>20.7</v>
      </c>
      <c r="D45" s="83">
        <v>0</v>
      </c>
      <c r="E45" s="54">
        <f t="shared" si="0"/>
        <v>0</v>
      </c>
      <c r="F45" s="55">
        <v>0</v>
      </c>
      <c r="G45" s="63" t="e">
        <f t="shared" si="4"/>
        <v>#DIV/0!</v>
      </c>
    </row>
    <row r="46" spans="1:8" s="24" customFormat="1" ht="15.75">
      <c r="A46" s="61" t="s">
        <v>34</v>
      </c>
      <c r="B46" s="64" t="s">
        <v>54</v>
      </c>
      <c r="C46" s="72">
        <f>30000000/1000000-2.491</f>
        <v>27.509</v>
      </c>
      <c r="D46" s="83">
        <v>4.95</v>
      </c>
      <c r="E46" s="54">
        <f t="shared" si="0"/>
        <v>0.17994111018212222</v>
      </c>
      <c r="F46" s="55">
        <v>0</v>
      </c>
      <c r="G46" s="63" t="e">
        <f t="shared" si="4"/>
        <v>#DIV/0!</v>
      </c>
    </row>
    <row r="47" spans="1:8" s="92" customFormat="1" ht="47.25">
      <c r="A47" s="85" t="s">
        <v>35</v>
      </c>
      <c r="B47" s="86" t="s">
        <v>77</v>
      </c>
      <c r="C47" s="87">
        <f>225000000/1000000</f>
        <v>225</v>
      </c>
      <c r="D47" s="88">
        <v>0</v>
      </c>
      <c r="E47" s="89">
        <f t="shared" si="0"/>
        <v>0</v>
      </c>
      <c r="F47" s="90">
        <v>0</v>
      </c>
      <c r="G47" s="91" t="e">
        <f t="shared" si="4"/>
        <v>#DIV/0!</v>
      </c>
    </row>
    <row r="48" spans="1:8" s="92" customFormat="1" ht="47.25">
      <c r="A48" s="85" t="s">
        <v>36</v>
      </c>
      <c r="B48" s="86" t="s">
        <v>78</v>
      </c>
      <c r="C48" s="87">
        <f>750000000/1000000-580</f>
        <v>170</v>
      </c>
      <c r="D48" s="88">
        <v>0</v>
      </c>
      <c r="E48" s="89">
        <f t="shared" si="0"/>
        <v>0</v>
      </c>
      <c r="F48" s="90">
        <v>0</v>
      </c>
      <c r="G48" s="91" t="e">
        <f t="shared" si="4"/>
        <v>#DIV/0!</v>
      </c>
    </row>
    <row r="49" spans="1:7" s="92" customFormat="1" ht="31.5">
      <c r="A49" s="85" t="s">
        <v>83</v>
      </c>
      <c r="B49" s="86" t="s">
        <v>89</v>
      </c>
      <c r="C49" s="87">
        <v>1487</v>
      </c>
      <c r="D49" s="88">
        <v>483</v>
      </c>
      <c r="E49" s="89">
        <f t="shared" ref="E49:E52" si="5">D49/C49</f>
        <v>0.32481506388702086</v>
      </c>
      <c r="F49" s="90">
        <v>0</v>
      </c>
      <c r="G49" s="91" t="e">
        <f t="shared" ref="G49:G52" si="6">D49/F49</f>
        <v>#DIV/0!</v>
      </c>
    </row>
    <row r="50" spans="1:7" s="92" customFormat="1" ht="30" customHeight="1">
      <c r="A50" s="85" t="s">
        <v>84</v>
      </c>
      <c r="B50" s="86" t="s">
        <v>99</v>
      </c>
      <c r="C50" s="87">
        <v>249.4</v>
      </c>
      <c r="D50" s="88">
        <v>243.9</v>
      </c>
      <c r="E50" s="89">
        <f t="shared" si="5"/>
        <v>0.97794707297514039</v>
      </c>
      <c r="F50" s="90">
        <f>162.6+32.75</f>
        <v>195.35</v>
      </c>
      <c r="G50" s="91">
        <f t="shared" si="6"/>
        <v>1.2485282825697466</v>
      </c>
    </row>
    <row r="51" spans="1:7" s="92" customFormat="1" ht="47.25">
      <c r="A51" s="85" t="s">
        <v>85</v>
      </c>
      <c r="B51" s="86" t="s">
        <v>100</v>
      </c>
      <c r="C51" s="87">
        <v>556</v>
      </c>
      <c r="D51" s="88">
        <v>0</v>
      </c>
      <c r="E51" s="89">
        <f t="shared" si="5"/>
        <v>0</v>
      </c>
      <c r="F51" s="90">
        <f>176.4+26.25</f>
        <v>202.65</v>
      </c>
      <c r="G51" s="91">
        <f t="shared" si="6"/>
        <v>0</v>
      </c>
    </row>
    <row r="52" spans="1:7" s="92" customFormat="1" ht="31.5">
      <c r="A52" s="85" t="s">
        <v>86</v>
      </c>
      <c r="B52" s="86" t="s">
        <v>101</v>
      </c>
      <c r="C52" s="87">
        <v>354.6</v>
      </c>
      <c r="D52" s="88">
        <v>96</v>
      </c>
      <c r="E52" s="89">
        <f t="shared" si="5"/>
        <v>0.27072758037225042</v>
      </c>
      <c r="F52" s="90">
        <v>0</v>
      </c>
      <c r="G52" s="91" t="e">
        <f t="shared" si="6"/>
        <v>#DIV/0!</v>
      </c>
    </row>
    <row r="53" spans="1:7" s="24" customFormat="1" ht="15.75">
      <c r="A53" s="59">
        <v>2</v>
      </c>
      <c r="B53" s="60" t="s">
        <v>37</v>
      </c>
      <c r="C53" s="69">
        <f>SUM(C54:C54)</f>
        <v>6067</v>
      </c>
      <c r="D53" s="69">
        <f t="shared" ref="D53:F53" si="7">SUM(D54:D54)</f>
        <v>207.9</v>
      </c>
      <c r="E53" s="93">
        <f t="shared" si="0"/>
        <v>3.4267347947914951E-2</v>
      </c>
      <c r="F53" s="69">
        <f t="shared" si="7"/>
        <v>287.10000000000002</v>
      </c>
      <c r="G53" s="94">
        <f>F53/D53</f>
        <v>1.3809523809523809</v>
      </c>
    </row>
    <row r="54" spans="1:7" s="24" customFormat="1" ht="15.75">
      <c r="A54" s="59" t="s">
        <v>15</v>
      </c>
      <c r="B54" s="60" t="s">
        <v>16</v>
      </c>
      <c r="C54" s="69">
        <f>SUM(C55:C55)</f>
        <v>6067</v>
      </c>
      <c r="D54" s="69">
        <f>SUM(D55:D55)</f>
        <v>207.9</v>
      </c>
      <c r="E54" s="93">
        <f t="shared" si="0"/>
        <v>3.4267347947914951E-2</v>
      </c>
      <c r="F54" s="69">
        <f>SUM(F55:F55)</f>
        <v>287.10000000000002</v>
      </c>
      <c r="G54" s="94">
        <f>F54/D54</f>
        <v>1.3809523809523809</v>
      </c>
    </row>
    <row r="55" spans="1:7" s="24" customFormat="1" ht="15.75">
      <c r="A55" s="95" t="s">
        <v>38</v>
      </c>
      <c r="B55" s="96" t="s">
        <v>57</v>
      </c>
      <c r="C55" s="97">
        <v>6067</v>
      </c>
      <c r="D55" s="97">
        <v>207.9</v>
      </c>
      <c r="E55" s="80">
        <f t="shared" si="0"/>
        <v>3.4267347947914951E-2</v>
      </c>
      <c r="F55" s="98">
        <v>287.10000000000002</v>
      </c>
      <c r="G55" s="91">
        <f>F55/D55</f>
        <v>1.3809523809523809</v>
      </c>
    </row>
    <row r="56" spans="1:7" s="24" customFormat="1" ht="14.25" customHeight="1">
      <c r="A56" s="99">
        <v>3</v>
      </c>
      <c r="B56" s="100" t="s">
        <v>39</v>
      </c>
      <c r="C56" s="101">
        <f>SUM(C57)</f>
        <v>49</v>
      </c>
      <c r="D56" s="45">
        <f>D57</f>
        <v>0</v>
      </c>
      <c r="E56" s="68">
        <f t="shared" si="0"/>
        <v>0</v>
      </c>
      <c r="F56" s="48">
        <f>F57</f>
        <v>0</v>
      </c>
      <c r="G56" s="94" t="e">
        <f t="shared" si="1"/>
        <v>#DIV/0!</v>
      </c>
    </row>
    <row r="57" spans="1:7" s="24" customFormat="1" ht="14.25" customHeight="1">
      <c r="A57" s="102" t="s">
        <v>40</v>
      </c>
      <c r="B57" s="103" t="s">
        <v>58</v>
      </c>
      <c r="C57" s="74">
        <v>49</v>
      </c>
      <c r="D57" s="58">
        <v>0</v>
      </c>
      <c r="E57" s="80">
        <f t="shared" si="0"/>
        <v>0</v>
      </c>
      <c r="F57" s="55">
        <v>0</v>
      </c>
      <c r="G57" s="91" t="e">
        <f t="shared" si="1"/>
        <v>#DIV/0!</v>
      </c>
    </row>
    <row r="58" spans="1:7" s="105" customFormat="1" ht="14.25" customHeight="1">
      <c r="A58" s="99">
        <v>4</v>
      </c>
      <c r="B58" s="100" t="s">
        <v>41</v>
      </c>
      <c r="C58" s="101">
        <f>C59</f>
        <v>0</v>
      </c>
      <c r="D58" s="69">
        <f t="shared" ref="D58" si="8">D59</f>
        <v>0</v>
      </c>
      <c r="E58" s="104" t="e">
        <f>E59</f>
        <v>#DIV/0!</v>
      </c>
      <c r="F58" s="77">
        <f>F59</f>
        <v>0</v>
      </c>
      <c r="G58" s="94" t="e">
        <f>F58/D58</f>
        <v>#DIV/0!</v>
      </c>
    </row>
    <row r="59" spans="1:7" s="92" customFormat="1" ht="15.75">
      <c r="A59" s="106" t="s">
        <v>42</v>
      </c>
      <c r="B59" s="107" t="s">
        <v>43</v>
      </c>
      <c r="C59" s="108">
        <v>0</v>
      </c>
      <c r="D59" s="109">
        <v>0</v>
      </c>
      <c r="E59" s="110" t="e">
        <f t="shared" si="0"/>
        <v>#DIV/0!</v>
      </c>
      <c r="F59" s="90">
        <v>0</v>
      </c>
      <c r="G59" s="91" t="e">
        <f>F59/D59</f>
        <v>#DIV/0!</v>
      </c>
    </row>
    <row r="60" spans="1:7" s="24" customFormat="1" ht="15.75" hidden="1">
      <c r="A60" s="59"/>
      <c r="B60" s="60"/>
      <c r="C60" s="111"/>
      <c r="D60" s="111"/>
      <c r="E60" s="80" t="e">
        <f t="shared" si="0"/>
        <v>#DIV/0!</v>
      </c>
      <c r="F60" s="48"/>
      <c r="G60" s="112" t="e">
        <f t="shared" si="1"/>
        <v>#DIV/0!</v>
      </c>
    </row>
    <row r="61" spans="1:7" s="117" customFormat="1" ht="15.75">
      <c r="A61" s="113">
        <v>5</v>
      </c>
      <c r="B61" s="114" t="s">
        <v>50</v>
      </c>
      <c r="C61" s="115">
        <f>C62</f>
        <v>36</v>
      </c>
      <c r="D61" s="115">
        <f>D62</f>
        <v>1.49</v>
      </c>
      <c r="E61" s="68">
        <f>E62</f>
        <v>4.1388888888888892E-2</v>
      </c>
      <c r="F61" s="77">
        <f>F62</f>
        <v>8.94</v>
      </c>
      <c r="G61" s="116">
        <f>D61/F61</f>
        <v>0.16666666666666669</v>
      </c>
    </row>
    <row r="62" spans="1:7" s="92" customFormat="1" ht="15.75">
      <c r="A62" s="118" t="s">
        <v>51</v>
      </c>
      <c r="B62" s="119" t="s">
        <v>59</v>
      </c>
      <c r="C62" s="120">
        <v>36</v>
      </c>
      <c r="D62" s="120">
        <v>1.49</v>
      </c>
      <c r="E62" s="121">
        <f t="shared" si="0"/>
        <v>4.1388888888888892E-2</v>
      </c>
      <c r="F62" s="122">
        <v>8.94</v>
      </c>
      <c r="G62" s="123">
        <f>D62/F62</f>
        <v>0.16666666666666669</v>
      </c>
    </row>
    <row r="63" spans="1:7" ht="8.25" customHeight="1"/>
    <row r="64" spans="1:7" ht="15.75" customHeight="1">
      <c r="D64" s="154" t="s">
        <v>102</v>
      </c>
      <c r="E64" s="154"/>
      <c r="F64" s="154"/>
      <c r="G64" s="154"/>
    </row>
    <row r="65" spans="2:7" s="6" customFormat="1" ht="18.75" customHeight="1">
      <c r="B65" s="23" t="s">
        <v>91</v>
      </c>
      <c r="C65" s="11"/>
      <c r="D65" s="152" t="s">
        <v>44</v>
      </c>
      <c r="E65" s="152"/>
      <c r="F65" s="152"/>
      <c r="G65" s="152"/>
    </row>
    <row r="66" spans="2:7" ht="16.5">
      <c r="B66" s="21"/>
      <c r="D66" s="17"/>
      <c r="E66" s="21"/>
      <c r="F66" s="21"/>
      <c r="G66" s="21"/>
    </row>
    <row r="67" spans="2:7" ht="16.5">
      <c r="B67" s="21"/>
    </row>
    <row r="68" spans="2:7" ht="16.5">
      <c r="B68" s="21"/>
    </row>
    <row r="69" spans="2:7" ht="16.5">
      <c r="B69" s="21"/>
    </row>
    <row r="70" spans="2:7" ht="16.5">
      <c r="B70" s="21"/>
    </row>
    <row r="71" spans="2:7" ht="16.5">
      <c r="B71" s="21"/>
    </row>
    <row r="72" spans="2:7" ht="16.5">
      <c r="B72" s="23" t="s">
        <v>92</v>
      </c>
      <c r="D72" s="153" t="s">
        <v>93</v>
      </c>
      <c r="E72" s="153"/>
      <c r="F72" s="153"/>
      <c r="G72" s="153"/>
    </row>
  </sheetData>
  <mergeCells count="10">
    <mergeCell ref="D65:G65"/>
    <mergeCell ref="D72:G72"/>
    <mergeCell ref="D64:G64"/>
    <mergeCell ref="E10:G10"/>
    <mergeCell ref="A1:G1"/>
    <mergeCell ref="A5:G5"/>
    <mergeCell ref="A6:G6"/>
    <mergeCell ref="A7:G7"/>
    <mergeCell ref="A8:G8"/>
    <mergeCell ref="A9:G9"/>
  </mergeCells>
  <phoneticPr fontId="17" type="noConversion"/>
  <pageMargins left="0.34055118099999998" right="0.143700787" top="0.44685039399999998" bottom="0.44685039399999998" header="0.31496062992126" footer="0.31496062992126"/>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7D89BC-968A-4C98-B016-1C2B799B1769}">
  <ds:schemaRefs>
    <ds:schemaRef ds:uri="http://www.w3.org/XML/1998/namespace"/>
    <ds:schemaRef ds:uri="780FFE3A-0846-4223-AD1A-992C07E03CB4"/>
    <ds:schemaRef ds:uri="http://purl.org/dc/terms/"/>
    <ds:schemaRef ds:uri="http://schemas.microsoft.com/office/2006/metadata/properties"/>
    <ds:schemaRef ds:uri="http://purl.org/dc/dcmitype/"/>
    <ds:schemaRef ds:uri="http://schemas.microsoft.com/office/2006/documentManagement/types"/>
    <ds:schemaRef ds:uri="http://schemas.microsoft.com/sharepoint/v3/fields"/>
    <ds:schemaRef ds:uri="http://schemas.openxmlformats.org/package/2006/metadata/core-properties"/>
    <ds:schemaRef ds:uri="http://schemas.microsoft.com/sharepoint/v3"/>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3EDFB828-C2AE-4CFD-962D-E85517812CF1}">
  <ds:schemaRefs>
    <ds:schemaRef ds:uri="http://schemas.microsoft.com/sharepoint/v3/contenttype/forms"/>
  </ds:schemaRefs>
</ds:datastoreItem>
</file>

<file path=customXml/itemProps3.xml><?xml version="1.0" encoding="utf-8"?>
<ds:datastoreItem xmlns:ds="http://schemas.openxmlformats.org/officeDocument/2006/customXml" ds:itemID="{530EBBEB-1E8A-4197-B421-74338AB870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80FFE3A-0846-4223-AD1A-992C07E03CB4"/>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BS03.QIII-2021 </vt:lpstr>
      <vt:lpstr>BS03.QIII-2021_VPS</vt:lpstr>
      <vt:lpstr>'BS03.QIII-2021 '!Print_Titles</vt:lpstr>
      <vt:lpstr>'BS03.QIII-2021_VPS'!Print_Titles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admin</cp:lastModifiedBy>
  <cp:lastPrinted>2021-10-06T07:37:49Z</cp:lastPrinted>
  <dcterms:created xsi:type="dcterms:W3CDTF">2021-01-14T08:12:01Z</dcterms:created>
  <dcterms:modified xsi:type="dcterms:W3CDTF">2022-01-25T04:07:00Z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